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AKIP 2017\"/>
    </mc:Choice>
  </mc:AlternateContent>
  <bookViews>
    <workbookView xWindow="240" yWindow="120" windowWidth="20055" windowHeight="7890" firstSheet="4" activeTab="4"/>
  </bookViews>
  <sheets>
    <sheet name="Tabel 7.1 final" sheetId="5" state="hidden" r:id="rId1"/>
    <sheet name="Tabel 7.1" sheetId="1" state="hidden" r:id="rId2"/>
    <sheet name="Tabel 8.1 final" sheetId="6" state="hidden" r:id="rId3"/>
    <sheet name="Tabel 9.1 final" sheetId="3" state="hidden" r:id="rId4"/>
    <sheet name="Data Lakip" sheetId="9" r:id="rId5"/>
    <sheet name="Tabel IKU" sheetId="8" r:id="rId6"/>
    <sheet name="Sheet1" sheetId="4" r:id="rId7"/>
  </sheets>
  <definedNames>
    <definedName name="_xlnm.Print_Area" localSheetId="4">'Data Lakip'!$A$1:$G$32</definedName>
    <definedName name="_xlnm.Print_Area" localSheetId="2">'Tabel 8.1 final'!#REF!</definedName>
    <definedName name="_xlnm.Print_Area" localSheetId="3">'Tabel 9.1 final'!$A$1:$K$502</definedName>
    <definedName name="_xlnm.Print_Area" localSheetId="5">'Tabel IKU'!$A$1:$K$41</definedName>
    <definedName name="_xlnm.Print_Titles" localSheetId="2">'Tabel 8.1 final'!$A$1:$IV$8</definedName>
  </definedNames>
  <calcPr calcId="152511"/>
</workbook>
</file>

<file path=xl/calcChain.xml><?xml version="1.0" encoding="utf-8"?>
<calcChain xmlns="http://schemas.openxmlformats.org/spreadsheetml/2006/main">
  <c r="C33" i="8" l="1"/>
  <c r="C34" i="8"/>
  <c r="C32" i="8"/>
  <c r="C30" i="8"/>
  <c r="C28" i="8"/>
  <c r="G24" i="9"/>
  <c r="G12" i="9"/>
  <c r="G13" i="9" s="1"/>
  <c r="G14" i="9" s="1"/>
  <c r="G15" i="9" s="1"/>
  <c r="G16" i="9" s="1"/>
  <c r="G17" i="9" s="1"/>
  <c r="F16" i="9"/>
  <c r="F17" i="9"/>
  <c r="K26" i="8"/>
  <c r="K25" i="8"/>
  <c r="B26" i="8" l="1"/>
  <c r="B25" i="8"/>
  <c r="F11" i="9" l="1"/>
  <c r="F12" i="9"/>
  <c r="F13" i="9"/>
  <c r="F14" i="9"/>
  <c r="F15" i="9"/>
  <c r="F10" i="9"/>
  <c r="G11" i="9"/>
  <c r="Q29" i="6" l="1"/>
  <c r="O29" i="6"/>
  <c r="M29" i="6"/>
  <c r="K29" i="6"/>
  <c r="S245" i="6"/>
  <c r="R245" i="6"/>
  <c r="I243" i="6"/>
  <c r="S243" i="6" s="1"/>
  <c r="I242" i="6"/>
  <c r="S242" i="6" s="1"/>
  <c r="Q239" i="6"/>
  <c r="O239" i="6"/>
  <c r="K239" i="6"/>
  <c r="I239" i="6"/>
  <c r="I235" i="6"/>
  <c r="I234" i="6"/>
  <c r="S233" i="6"/>
  <c r="Q233" i="6"/>
  <c r="O233" i="6"/>
  <c r="M233" i="6"/>
  <c r="K233" i="6"/>
  <c r="K232" i="6"/>
  <c r="I232" i="6"/>
  <c r="I226" i="6"/>
  <c r="S225" i="6"/>
  <c r="Q225" i="6"/>
  <c r="O225" i="6"/>
  <c r="M225" i="6"/>
  <c r="I223" i="6"/>
  <c r="S213" i="6"/>
  <c r="Q213" i="6"/>
  <c r="O213" i="6"/>
  <c r="M213" i="6"/>
  <c r="K213" i="6"/>
  <c r="I213" i="6"/>
  <c r="S212" i="6"/>
  <c r="S211" i="6"/>
  <c r="Q211" i="6"/>
  <c r="O211" i="6"/>
  <c r="S206" i="6"/>
  <c r="Q206" i="6"/>
  <c r="O206" i="6"/>
  <c r="M206" i="6"/>
  <c r="K206" i="6"/>
  <c r="I206" i="6"/>
  <c r="I202" i="6"/>
  <c r="I201" i="6"/>
  <c r="I198" i="6"/>
  <c r="S191" i="6"/>
  <c r="Q191" i="6"/>
  <c r="O191" i="6"/>
  <c r="M191" i="6"/>
  <c r="K191" i="6"/>
  <c r="I191" i="6"/>
  <c r="S188" i="6"/>
  <c r="S187" i="6"/>
  <c r="S186" i="6"/>
  <c r="S181" i="6"/>
  <c r="M181" i="6"/>
  <c r="O181" i="6" s="1"/>
  <c r="Q181" i="6" s="1"/>
  <c r="K181" i="6"/>
  <c r="K179" i="6"/>
  <c r="M179" i="6" s="1"/>
  <c r="O179" i="6" s="1"/>
  <c r="Q179" i="6" s="1"/>
  <c r="S179" i="6" s="1"/>
  <c r="K178" i="6"/>
  <c r="M178" i="6" s="1"/>
  <c r="O178" i="6" s="1"/>
  <c r="Q178" i="6" s="1"/>
  <c r="S178" i="6" s="1"/>
  <c r="O177" i="6"/>
  <c r="Q177" i="6" s="1"/>
  <c r="S177" i="6" s="1"/>
  <c r="M177" i="6"/>
  <c r="M176" i="6"/>
  <c r="O176" i="6" s="1"/>
  <c r="Q176" i="6" s="1"/>
  <c r="S176" i="6" s="1"/>
  <c r="S174" i="6"/>
  <c r="Q174" i="6"/>
  <c r="O174" i="6"/>
  <c r="M174" i="6"/>
  <c r="K174" i="6"/>
  <c r="S173" i="6"/>
  <c r="Q173" i="6"/>
  <c r="O173" i="6"/>
  <c r="S172" i="6"/>
  <c r="Q172" i="6"/>
  <c r="O172" i="6"/>
  <c r="O171" i="6"/>
  <c r="M171" i="6"/>
  <c r="K171" i="6"/>
  <c r="Q170" i="6"/>
  <c r="M170" i="6"/>
  <c r="K170" i="6"/>
  <c r="Q169" i="6"/>
  <c r="O169" i="6"/>
  <c r="M169" i="6"/>
  <c r="K169" i="6"/>
  <c r="K168" i="6"/>
  <c r="I167" i="6"/>
  <c r="S149" i="6"/>
  <c r="Q149" i="6"/>
  <c r="S146" i="6"/>
  <c r="Q146" i="6"/>
  <c r="O146" i="6"/>
  <c r="M146" i="6"/>
  <c r="K146" i="6"/>
  <c r="I146" i="6"/>
  <c r="S144" i="6"/>
  <c r="Q144" i="6"/>
  <c r="R123" i="6"/>
  <c r="P123" i="6"/>
  <c r="N123" i="6"/>
  <c r="L123" i="6"/>
  <c r="J123" i="6"/>
  <c r="H123" i="6"/>
  <c r="G123" i="6"/>
  <c r="R121" i="6"/>
  <c r="P121" i="6"/>
  <c r="N121" i="6"/>
  <c r="L121" i="6"/>
  <c r="J121" i="6"/>
  <c r="H121" i="6"/>
  <c r="G121" i="6"/>
  <c r="R120" i="6"/>
  <c r="P120" i="6"/>
  <c r="N120" i="6"/>
  <c r="L120" i="6"/>
  <c r="J120" i="6"/>
  <c r="H120" i="6"/>
  <c r="G120" i="6"/>
  <c r="H118" i="6"/>
  <c r="G118" i="6"/>
  <c r="O117" i="6"/>
  <c r="M117" i="6"/>
  <c r="K117" i="6"/>
  <c r="I117" i="6"/>
  <c r="R116" i="6"/>
  <c r="P116" i="6"/>
  <c r="N116" i="6"/>
  <c r="L116" i="6"/>
  <c r="J116" i="6"/>
  <c r="H116" i="6"/>
  <c r="G116" i="6"/>
  <c r="R115" i="6"/>
  <c r="P115" i="6"/>
  <c r="N115" i="6"/>
  <c r="L115" i="6"/>
  <c r="J115" i="6"/>
  <c r="H115" i="6"/>
  <c r="G115" i="6"/>
  <c r="R111" i="6"/>
  <c r="P111" i="6"/>
  <c r="N111" i="6"/>
  <c r="L111" i="6"/>
  <c r="J111" i="6"/>
  <c r="H111" i="6"/>
  <c r="G111" i="6"/>
  <c r="R110" i="6"/>
  <c r="P110" i="6"/>
  <c r="G110" i="6"/>
  <c r="S107" i="6"/>
  <c r="Q107" i="6"/>
  <c r="O107" i="6"/>
  <c r="M107" i="6"/>
  <c r="K107" i="6"/>
  <c r="I107" i="6"/>
  <c r="S104" i="6"/>
  <c r="Q104" i="6"/>
  <c r="O104" i="6"/>
  <c r="M104" i="6"/>
  <c r="K104" i="6"/>
  <c r="I104" i="6"/>
  <c r="S101" i="6"/>
  <c r="Q101" i="6"/>
  <c r="O101" i="6"/>
  <c r="M101" i="6"/>
  <c r="K101" i="6"/>
  <c r="I101" i="6"/>
  <c r="S100" i="6"/>
  <c r="Q100" i="6"/>
  <c r="O100" i="6"/>
  <c r="M100" i="6"/>
  <c r="K100" i="6"/>
  <c r="S99" i="6"/>
  <c r="K99" i="6"/>
  <c r="M99" i="6" s="1"/>
  <c r="O99" i="6" s="1"/>
  <c r="Q99" i="6" s="1"/>
  <c r="S95" i="6"/>
  <c r="Q95" i="6"/>
  <c r="O95" i="6"/>
  <c r="M95" i="6"/>
  <c r="K95" i="6"/>
  <c r="I95" i="6"/>
  <c r="S93" i="6"/>
  <c r="Q93" i="6"/>
  <c r="O93" i="6"/>
  <c r="M93" i="6"/>
  <c r="K93" i="6"/>
  <c r="I93" i="6"/>
  <c r="S92" i="6"/>
  <c r="Q92" i="6"/>
  <c r="O92" i="6"/>
  <c r="M92" i="6"/>
  <c r="K92" i="6"/>
  <c r="I92" i="6"/>
  <c r="S91" i="6"/>
  <c r="Q91" i="6"/>
  <c r="O91" i="6"/>
  <c r="M91" i="6"/>
  <c r="K91" i="6"/>
  <c r="I91" i="6"/>
  <c r="S90" i="6"/>
  <c r="Q90" i="6"/>
  <c r="O90" i="6"/>
  <c r="M90" i="6"/>
  <c r="K90" i="6"/>
  <c r="I90" i="6"/>
  <c r="S84" i="6"/>
  <c r="Q84" i="6"/>
  <c r="O84" i="6"/>
  <c r="M84" i="6"/>
  <c r="K84" i="6"/>
  <c r="I84" i="6"/>
  <c r="S83" i="6"/>
  <c r="Q83" i="6"/>
  <c r="O83" i="6"/>
  <c r="M83" i="6"/>
  <c r="S82" i="6"/>
  <c r="Q82" i="6"/>
  <c r="O82" i="6"/>
  <c r="M82" i="6"/>
  <c r="K82" i="6"/>
  <c r="I82" i="6"/>
  <c r="S81" i="6"/>
  <c r="Q81" i="6"/>
  <c r="O81" i="6"/>
  <c r="M81" i="6"/>
  <c r="K81" i="6"/>
  <c r="I81" i="6"/>
  <c r="S67" i="6"/>
  <c r="Q67" i="6"/>
  <c r="O67" i="6"/>
  <c r="M67" i="6"/>
  <c r="Q63" i="6"/>
  <c r="Q62" i="6"/>
  <c r="O62" i="6"/>
  <c r="M62" i="6"/>
  <c r="G47" i="6"/>
  <c r="G45" i="6"/>
  <c r="S39" i="6"/>
  <c r="Q39" i="6"/>
  <c r="O39" i="6"/>
  <c r="M39" i="6"/>
  <c r="K39" i="6"/>
  <c r="I39" i="6"/>
  <c r="S38" i="6"/>
  <c r="Q38" i="6"/>
  <c r="O38" i="6"/>
  <c r="M38" i="6"/>
  <c r="K38" i="6"/>
  <c r="I27" i="6"/>
  <c r="I21" i="6"/>
  <c r="G176" i="5"/>
  <c r="G59" i="5"/>
  <c r="L53" i="5"/>
  <c r="I509" i="3"/>
  <c r="I505" i="3"/>
  <c r="G506" i="3"/>
  <c r="I506" i="3" s="1"/>
  <c r="K457" i="3"/>
  <c r="K393" i="3"/>
  <c r="K285" i="3"/>
  <c r="J285" i="3"/>
  <c r="I285" i="3"/>
  <c r="H285" i="3"/>
  <c r="G285" i="3"/>
  <c r="F285" i="3"/>
  <c r="K284" i="3"/>
  <c r="J284" i="3"/>
  <c r="I284" i="3"/>
  <c r="H284" i="3"/>
  <c r="G284" i="3"/>
  <c r="F284" i="3"/>
  <c r="K282" i="3"/>
  <c r="J282" i="3"/>
  <c r="I282" i="3"/>
  <c r="H282" i="3"/>
  <c r="G282" i="3"/>
  <c r="F282" i="3"/>
  <c r="K281" i="3"/>
  <c r="J281" i="3"/>
  <c r="I281" i="3"/>
  <c r="H281" i="3"/>
  <c r="G281" i="3"/>
  <c r="F281" i="3"/>
  <c r="K277" i="3"/>
  <c r="J277" i="3"/>
  <c r="I277" i="3"/>
  <c r="H277" i="3"/>
  <c r="G277" i="3"/>
  <c r="F277" i="3"/>
  <c r="K273" i="3"/>
  <c r="J273" i="3"/>
  <c r="I273" i="3"/>
  <c r="H273" i="3"/>
  <c r="G273" i="3"/>
  <c r="F273" i="3"/>
  <c r="E273" i="3"/>
  <c r="K272" i="3"/>
  <c r="J272" i="3"/>
  <c r="I272" i="3"/>
  <c r="H272" i="3"/>
  <c r="G272" i="3"/>
  <c r="F272" i="3"/>
  <c r="K271" i="3"/>
  <c r="J271" i="3"/>
  <c r="I271" i="3"/>
  <c r="H271" i="3"/>
  <c r="G271" i="3"/>
  <c r="F271" i="3"/>
  <c r="K270" i="3"/>
  <c r="J270" i="3"/>
  <c r="I270" i="3"/>
  <c r="H270" i="3"/>
  <c r="G270" i="3"/>
  <c r="F270" i="3"/>
  <c r="K269" i="3"/>
  <c r="J269" i="3"/>
  <c r="I269" i="3"/>
  <c r="H269" i="3"/>
  <c r="G269" i="3"/>
  <c r="F269" i="3"/>
  <c r="K268" i="3"/>
  <c r="J268" i="3"/>
  <c r="I268" i="3"/>
  <c r="H268" i="3"/>
  <c r="G268" i="3"/>
  <c r="F268" i="3"/>
  <c r="E268" i="3"/>
  <c r="K267" i="3"/>
  <c r="J267" i="3"/>
  <c r="I267" i="3"/>
  <c r="H267" i="3"/>
  <c r="G267" i="3"/>
  <c r="F267" i="3"/>
  <c r="K266" i="3"/>
  <c r="J266" i="3"/>
  <c r="I266" i="3"/>
  <c r="H266" i="3"/>
  <c r="G266" i="3"/>
  <c r="F266" i="3"/>
  <c r="E266" i="3"/>
  <c r="K265" i="3"/>
  <c r="J265" i="3"/>
  <c r="I265" i="3"/>
  <c r="H265" i="3"/>
  <c r="G265" i="3"/>
  <c r="F265" i="3"/>
  <c r="K264" i="3"/>
  <c r="J264" i="3"/>
  <c r="I264" i="3"/>
  <c r="H264" i="3"/>
  <c r="G264" i="3"/>
  <c r="F264" i="3"/>
  <c r="K263" i="3"/>
  <c r="J263" i="3"/>
  <c r="I263" i="3"/>
  <c r="H263" i="3"/>
  <c r="G263" i="3"/>
  <c r="F263" i="3"/>
  <c r="E263" i="3"/>
  <c r="K262" i="3"/>
  <c r="J262" i="3"/>
  <c r="I262" i="3"/>
  <c r="H262" i="3"/>
  <c r="G262" i="3"/>
  <c r="F262" i="3"/>
  <c r="K261" i="3"/>
  <c r="J261" i="3"/>
  <c r="I261" i="3"/>
  <c r="H261" i="3"/>
  <c r="G261" i="3"/>
  <c r="F261" i="3"/>
  <c r="K260" i="3"/>
  <c r="J260" i="3"/>
  <c r="I260" i="3"/>
  <c r="H260" i="3"/>
  <c r="G260" i="3"/>
  <c r="F260" i="3"/>
  <c r="K256" i="3"/>
  <c r="J256" i="3"/>
  <c r="I256" i="3"/>
  <c r="H256" i="3"/>
  <c r="G256" i="3"/>
  <c r="F256" i="3"/>
  <c r="E256" i="3"/>
  <c r="F250" i="3"/>
  <c r="G250" i="3" s="1"/>
  <c r="H250" i="3" s="1"/>
  <c r="I250" i="3" s="1"/>
  <c r="J250" i="3" s="1"/>
  <c r="K250" i="3" s="1"/>
  <c r="G249" i="3"/>
  <c r="H249" i="3" s="1"/>
  <c r="I249" i="3" s="1"/>
  <c r="J249" i="3" s="1"/>
  <c r="K249" i="3" s="1"/>
  <c r="F243" i="3"/>
  <c r="G243" i="3" s="1"/>
  <c r="H243" i="3" s="1"/>
  <c r="I243" i="3" s="1"/>
  <c r="J243" i="3" s="1"/>
  <c r="G181" i="1"/>
  <c r="G59" i="1"/>
  <c r="S62" i="6" l="1"/>
  <c r="S239" i="6"/>
  <c r="G507" i="3"/>
  <c r="G508" i="3" l="1"/>
  <c r="I508" i="3" s="1"/>
  <c r="I507" i="3"/>
  <c r="F61" i="3"/>
</calcChain>
</file>

<file path=xl/comments1.xml><?xml version="1.0" encoding="utf-8"?>
<comments xmlns="http://schemas.openxmlformats.org/spreadsheetml/2006/main">
  <authors>
    <author>bu leny</author>
    <author>Acer</author>
    <author>User</author>
  </authors>
  <commentList>
    <comment ref="I5" authorId="0" shapeId="0">
      <text>
        <r>
          <rPr>
            <b/>
            <sz val="9"/>
            <color indexed="81"/>
            <rFont val="Tahoma"/>
            <family val="2"/>
          </rPr>
          <t>perurusan lihat di permen 59</t>
        </r>
      </text>
    </comment>
    <comment ref="F54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keterlibatan masyarakat di ukur melalui jumlah desa yg megikuti program PNPM dan PDPM  sebnyak  67 desa dari 156 desa/kel
</t>
        </r>
      </text>
    </comment>
    <comment ref="F55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diukur dengan perbandingan jumlah desa yg sudah memiliki kades definitif sebanyak 80 desa dari 156 desa/kel
</t>
        </r>
      </text>
    </comment>
    <comment ref="F56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diukur dengan jumalh kader perempuan aktif hingga akhir tahun 2013 sebnayk 0 Halte desa dari 50 Halte yang di rencanakan
</t>
        </r>
      </text>
    </comment>
    <comment ref="F57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dikukur dengan perbandingan jumlah LPM yag aktif dari 156 LPM desa aktif</t>
        </r>
      </text>
    </comment>
    <comment ref="F58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dikukur dengan banyaknya fasilitas perlengkapan jalan yang dipasang dari seluruh fasilitas yang dibutuhkan</t>
        </r>
      </text>
    </comment>
    <comment ref="F59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diukur dgn progres pembangunan balai uji</t>
        </r>
      </text>
    </comment>
    <comment ref="E66" authorId="2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majalah, radio, televisi</t>
        </r>
      </text>
    </comment>
    <comment ref="E68" authorId="2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pertunjukan rakyat</t>
        </r>
      </text>
    </comment>
  </commentList>
</comments>
</file>

<file path=xl/comments2.xml><?xml version="1.0" encoding="utf-8"?>
<comments xmlns="http://schemas.openxmlformats.org/spreadsheetml/2006/main">
  <authors>
    <author>bu leny</author>
    <author>Acer</author>
  </authors>
  <commentList>
    <comment ref="I5" authorId="0" shapeId="0">
      <text>
        <r>
          <rPr>
            <b/>
            <sz val="9"/>
            <color indexed="81"/>
            <rFont val="Tahoma"/>
            <family val="2"/>
          </rPr>
          <t>perurusan lihat di permen 59</t>
        </r>
      </text>
    </comment>
    <comment ref="F54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keterlibatan masyarakat di ukur melalui jumlah desa yg megikuti program PNPM dan PDPM  sebnyak  67 desa dari 156 desa/kel
</t>
        </r>
      </text>
    </comment>
    <comment ref="F55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diukur dengan perbandingan jumlah desa yg sudah memiliki kades definitif sebanyak 80 desa dari 156 desa/kel
</t>
        </r>
      </text>
    </comment>
    <comment ref="F56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diukur dengan jumalh kader perempuan aktif hingga akhir tahun 2013 sebnayk 0 Halte desa dari 50 Halte yang di rencanakan
</t>
        </r>
      </text>
    </comment>
    <comment ref="F57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dikukur dengan perbandingan jumlah LPM yag aktif dari 156 LPM desa aktif</t>
        </r>
      </text>
    </comment>
    <comment ref="F58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dikukur dengan banyaknya fasilitas perlengkapan jalan yang dipasang dari seluruh fasilitas yang dibutuhkan</t>
        </r>
      </text>
    </comment>
    <comment ref="F59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diukur dgn progres pembangunan balai uji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G15" authorId="0" shapeId="0">
      <text>
        <r>
          <rPr>
            <b/>
            <sz val="9"/>
            <color indexed="81"/>
            <rFont val="Tahoma"/>
            <family val="2"/>
          </rPr>
          <t>prog blm di laksanakan</t>
        </r>
      </text>
    </comment>
    <comment ref="G17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blm dilaksanakan
</t>
        </r>
      </text>
    </comment>
  </commentList>
</comments>
</file>

<file path=xl/comments4.xml><?xml version="1.0" encoding="utf-8"?>
<comments xmlns="http://schemas.openxmlformats.org/spreadsheetml/2006/main">
  <authors>
    <author>User</author>
    <author>Acer</author>
  </authors>
  <commentList>
    <comment ref="K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akhir priode jab bupati 26 agust 2013
</t>
        </r>
      </text>
    </comment>
    <comment ref="E55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keterlibatan masyarakat di ukur melalui jumlah desa yg megikuti program PNPM dan PDPM  sebnyak  67 desa dari 156 desa/kel
</t>
        </r>
      </text>
    </comment>
    <comment ref="E56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diukur dengan perbandingan jumlah desa yg sudah memiliki kades definitif sebanyak 80 desa dari 156 desa/kel
</t>
        </r>
      </text>
    </comment>
    <comment ref="E57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diukur dengan jumalh kader perempuan aktif hingga akhir tahun 2013 sebnayk 0 Halte desa dari 50 Halte yang di rencanakan
</t>
        </r>
      </text>
    </comment>
    <comment ref="E58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dikukur dengan perbandingan jumlah LPM yag aktif dari 156 LPM desa aktif</t>
        </r>
      </text>
    </comment>
    <comment ref="E59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dikukur dengan banyaknya fasilitas perlengkapan jalan yang dipasang dari seluruh fasilitas yang dibutuhkan</t>
        </r>
      </text>
    </comment>
    <comment ref="E60" authorId="1" shape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diukur dgn progres pembangunan balai uji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K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akhir priode jab bupati 26 agust 2013
</t>
        </r>
      </text>
    </comment>
  </commentList>
</comments>
</file>

<file path=xl/sharedStrings.xml><?xml version="1.0" encoding="utf-8"?>
<sst xmlns="http://schemas.openxmlformats.org/spreadsheetml/2006/main" count="8306" uniqueCount="2599">
  <si>
    <t>TABEL .7.1</t>
  </si>
  <si>
    <t>KEBIJAKAN UMUM DAN PROGRAM PEMBANGUNAN DAERAH</t>
  </si>
  <si>
    <t>Sasaran</t>
  </si>
  <si>
    <t>Strategi</t>
  </si>
  <si>
    <t>Arah Kebijakan</t>
  </si>
  <si>
    <t>Capaian Kinerja</t>
  </si>
  <si>
    <t>Program Pembangunan Daerah</t>
  </si>
  <si>
    <t>Bidang Urusan</t>
  </si>
  <si>
    <t>SKPD</t>
  </si>
  <si>
    <t>Indikator Kinerja (outcome)</t>
  </si>
  <si>
    <t>Kondisi Awal</t>
  </si>
  <si>
    <t>Kondisi Akhir</t>
  </si>
  <si>
    <t>1</t>
  </si>
  <si>
    <t>2</t>
  </si>
  <si>
    <t>3</t>
  </si>
  <si>
    <t>4</t>
  </si>
  <si>
    <t>6</t>
  </si>
  <si>
    <t>7</t>
  </si>
  <si>
    <t>8</t>
  </si>
  <si>
    <t>9</t>
  </si>
  <si>
    <t>I</t>
  </si>
  <si>
    <t>MISI I MENINGKATKAN INFRASTRUKTUR DAN KELESTARIAN LINGKUNGAN HIDUP</t>
  </si>
  <si>
    <t>1.1.1</t>
  </si>
  <si>
    <t xml:space="preserve">Tercapainya pemenuhan kebutuhan masyarakat terhadap infrastruktur dasar yang layak </t>
  </si>
  <si>
    <t>Meningkatkan kualitas dan kuantitas pembangunan infrastruktur dasar</t>
  </si>
  <si>
    <t>Membangun infrastruktur dasar yang tepat guna dan sesuai SPM</t>
  </si>
  <si>
    <t>Cakupan ketersediaan rumah layak huni (SPM)</t>
  </si>
  <si>
    <t>PU CK &amp; Pengairan</t>
  </si>
  <si>
    <t>Meningkatkan pemeliharaan terhadap infrastruktur dasar yang ada</t>
  </si>
  <si>
    <t xml:space="preserve">Prioritas pendanaan bagi pembangunan dan pemelliharaan infrastruktur dasar </t>
  </si>
  <si>
    <t>Cakupan lingkungan yang sehat/aman yang didukung oleh PSU (SPM)</t>
  </si>
  <si>
    <t>Meningkatkan peran pemerintah,swasta dan masyarakat dalam pemeliharaan infrastruktur dasar</t>
  </si>
  <si>
    <t>Berkurangnya luasan permukiman kumuh dikawasan perkotaan (SPM)</t>
  </si>
  <si>
    <t xml:space="preserve">Tersedianya sistem  informasi jasa konstruksi  (SPM) </t>
  </si>
  <si>
    <t>Jumlah Rumah tangga miskin terlayani Listrik</t>
  </si>
  <si>
    <t xml:space="preserve">- </t>
  </si>
  <si>
    <t>500 Unit</t>
  </si>
  <si>
    <t>Program pembinaan dan pengembangan bidang ketenaga listrikan</t>
  </si>
  <si>
    <t>Energi</t>
  </si>
  <si>
    <t>HUTBUNTAMBEN</t>
  </si>
  <si>
    <t>Prosentase desa/kelurahan terlayani listrik</t>
  </si>
  <si>
    <t>Tersedianya  air baku untuk memenuhi kebutuhan pokok minimal sehari -hari (SPM)</t>
  </si>
  <si>
    <t>Tersedianya akses air minum yang aman melalui Sistem Penyediaa Air Minum dengan jaringan perpipaan dan bukan jaringan perpipaan terlindungi dengan kebutuhan pokok minimal 60 liter/orang/hari (SPM)</t>
  </si>
  <si>
    <t>Tersedianya irigasi untuk pertanian rakyat pada sistem irigasi yang sudah ada (SPM)</t>
  </si>
  <si>
    <t>Jumlah Infrastruktur dasar dalam kondisi baik</t>
  </si>
  <si>
    <t xml:space="preserve">Meningkatkan pembangunan infrastruktur sanitasi </t>
  </si>
  <si>
    <t>Prioritas pendanaan bagi Pembangunan  infrastruktur sanitasi</t>
  </si>
  <si>
    <t>Tersedianya sistem penanganan sampah di perkotaan  (SPM)</t>
  </si>
  <si>
    <t>Meningkatkan pemeliharaan terhadap infrastruktur sanitasi</t>
  </si>
  <si>
    <t>Prioritas pendanaan bagi Pemeliharaan infrastruktur sanitasi</t>
  </si>
  <si>
    <t xml:space="preserve">Tersedianya fasilitas penanganan sampah di perkotaan (SPM) </t>
  </si>
  <si>
    <t>Meningkatkan peran pemerintah,swasta dan masyarakat dalam pemeliharaan infrastruktur sanitasi</t>
  </si>
  <si>
    <t>Tempat pembuangan sampah persatuan  penduduk</t>
  </si>
  <si>
    <t>Program pengembangan kinerja pengelolaan persampahan</t>
  </si>
  <si>
    <t>Lingkungan Hidup</t>
  </si>
  <si>
    <t>BLHD</t>
  </si>
  <si>
    <t>Prosentase Rumah tangga berakses pembuangan limbah</t>
  </si>
  <si>
    <t>Ketersediaan sistem jaringan dan pengolahan air limbah (SPM)</t>
  </si>
  <si>
    <t>Tersedianya fasilitas penanganan sampah per KK</t>
  </si>
  <si>
    <t>0,05 %</t>
  </si>
  <si>
    <t>0,30%</t>
  </si>
  <si>
    <t>DPK3</t>
  </si>
  <si>
    <t>Jumlah rumah tangga berakses pembuangan limbah padat</t>
  </si>
  <si>
    <t>3000 KK</t>
  </si>
  <si>
    <t>4200 KK</t>
  </si>
  <si>
    <t>Volume sampah terangkut</t>
  </si>
  <si>
    <t>5400 Ton</t>
  </si>
  <si>
    <t>7200 Ton</t>
  </si>
  <si>
    <t>Tersedianya sistem jaringan drainase skala kawasan dan skala kota sehingga tidak terjadi genangan (lebih dari 30 cm,selama 2 jam) dan tidak lebih dari 2 kali setahun (SPM)</t>
  </si>
  <si>
    <t>Tersedianya sistem air limbah yang memadai (SPM)</t>
  </si>
  <si>
    <t>Tersedianya sistem air limbah skala komunitas/kawasan/kota (SPM)</t>
  </si>
  <si>
    <t>1.1.2</t>
  </si>
  <si>
    <t>terciptanya kelestarian lingkungan dan SDA</t>
  </si>
  <si>
    <t>Pengelolaan, pengendalian, pemanfaatan lingkungan hidup dan SDA</t>
  </si>
  <si>
    <t>Pembinaan dan pengawasan pemanfaatan lingkungan  dan sumber SDA</t>
  </si>
  <si>
    <t>Prosentase pelayanan pencegahan pencemaran air (SPM)</t>
  </si>
  <si>
    <t>Program pengendalian pencemaran dan perusakan lingkungan</t>
  </si>
  <si>
    <t>Program peningkatan pengelolaan laboratorium lingkungan</t>
  </si>
  <si>
    <t>Prosentase pelayanan pencegahan pencemaran udara dari sumber yang tidak bergerak (SPM)</t>
  </si>
  <si>
    <t>Program Peningkatan Pengendalian Polusi</t>
  </si>
  <si>
    <t>Program Adaptasi dan mitigasi perubahan iklim</t>
  </si>
  <si>
    <t>Program perlindungan dan konservasi sumber daya alam</t>
  </si>
  <si>
    <t>Program pengelolaan ruang terbuka hijau (RTH)</t>
  </si>
  <si>
    <t>Prosentase pelayanan informasi status kerusakan lahan dan atau tanah untuk produksi biomassa (SPM)</t>
  </si>
  <si>
    <t>Program peningkatan kualitas dan akses informasi sumber daya alam dan lingkungan hidup</t>
  </si>
  <si>
    <t>Prosentase tingkat pelayanan tindak lanjut pengaduan masyarakat akibat  adanya dugaan pencemaran /kerusakan lingkungan (SPM)</t>
  </si>
  <si>
    <t>Program peningkatan penaatan terhadap peraturan perundang-undangan lingkungan hidup</t>
  </si>
  <si>
    <t>Tersedianya luasan RTH publik sebesar 20 % dari luas wilayah kota/kawasan perkotaan (SPM)</t>
  </si>
  <si>
    <t xml:space="preserve">Adanya reboisasi dan penghijauan hutan </t>
  </si>
  <si>
    <t xml:space="preserve">144 Ha </t>
  </si>
  <si>
    <t>960 Ha</t>
  </si>
  <si>
    <t>Program Pemanfaatan Potensi Sumber Daya Hutan</t>
  </si>
  <si>
    <t>Hutan</t>
  </si>
  <si>
    <t>Program rehabilitasi hutan dan lahan</t>
  </si>
  <si>
    <t>Hutbuntamben</t>
  </si>
  <si>
    <t>Program Pembinaan dan Penertiban Industri Hasil Hutan</t>
  </si>
  <si>
    <t>Program perencanaan dan pengembangan hutan</t>
  </si>
  <si>
    <t>persentase penambangan yang berizin</t>
  </si>
  <si>
    <t>Program pembinaan dan pengawasan bidang pertambangan</t>
  </si>
  <si>
    <t>Tambang</t>
  </si>
  <si>
    <t>1.1.3</t>
  </si>
  <si>
    <t>Terpenuhinya kebutuhan masyarakat akan infrastruktur wilayah</t>
  </si>
  <si>
    <t>Meningkatkan pembangunan jalan,  jembatan dan infrastruktur wilayah lainnya</t>
  </si>
  <si>
    <t>Sinkronisasi program daerah dan pusat</t>
  </si>
  <si>
    <t>Prosentase tersedianya akses jalan sampai dengan wilayah terpencil dan terisolasi</t>
  </si>
  <si>
    <t>Program Pembangunan Jalan dan Jembatan</t>
  </si>
  <si>
    <t xml:space="preserve">Pekerjaan Umum </t>
  </si>
  <si>
    <t>PU BM</t>
  </si>
  <si>
    <t>Alokasi pendanaan</t>
  </si>
  <si>
    <t>Prosentase tersedianya akses jembatan sampai dengan wilayah terpencil dan terisolasi</t>
  </si>
  <si>
    <t>Program rehabilitasi/pemeliharaan jalan dan jembatan</t>
  </si>
  <si>
    <t xml:space="preserve">Meningkatkan perolehan dana - dana stimulan </t>
  </si>
  <si>
    <t>Prosentase tersedianya jalan yang memudahkan individu melakukan perjalanan (SPM  Mobilitas)</t>
  </si>
  <si>
    <t>Program inspeksi kondisi jalan dan jembatan</t>
  </si>
  <si>
    <t xml:space="preserve">Prosentase tersedianya jalan yang menghubungkan pusat kegiatan dalam wilayah kabupaten/kota (SPM Aksesibiltas) </t>
  </si>
  <si>
    <t>Program pembangunan sistem informasi/data base jalan dan jembatan</t>
  </si>
  <si>
    <t>Prosentase jalan yang menjamin kendaraan dapat berjalan dengan selamat dan nyaman (SPM Kondisi Jalan)</t>
  </si>
  <si>
    <t xml:space="preserve">Program peningkatan sarana dan prasarana kebinamargaan </t>
  </si>
  <si>
    <t xml:space="preserve">Prosentase jembatan yang menjamin kendaraan dapat berjalan dengan selamat dan nyaman </t>
  </si>
  <si>
    <t>Program peningkatan kapasitas kelembagaan perencanaan pembangunan daerah</t>
  </si>
  <si>
    <t>Prosentase tersedianya jalan yang menjamin perjalanan dapat dilakukan sesuai dengan kecepatan rencana (SPM Kecepatan)</t>
  </si>
  <si>
    <t>Prosentase tersedianya jalan yang menjamin pengguna jalan berkendara dengan selamat (SPM Keselamatan)</t>
  </si>
  <si>
    <t>Meningkatkan pemeliharaan terhadap infrastruktur wilayah</t>
  </si>
  <si>
    <t>Meningkatkan peran pemerintah,swasta dan masyarakat dalam pemeliharaan infrastruktur wilayah</t>
  </si>
  <si>
    <t>Proporsi talud/bronjong dalam kondisi baik</t>
  </si>
  <si>
    <t>PU CK</t>
  </si>
  <si>
    <t>1.1.4</t>
  </si>
  <si>
    <t>Meningkatnya pembangunan antar wilayah dan antar sektor dengan berpedoman pada RTRW</t>
  </si>
  <si>
    <t xml:space="preserve">Meningkatkan perencanaan yang partisipatif untuk pelaksanaan penataan ruang yang berkelanjutan </t>
  </si>
  <si>
    <t>Sinkronisasi pembangunan antar wilayah dan antar sektor yang berpedoman pada RTRW</t>
  </si>
  <si>
    <t>Tersedianya informasi mengenai Rencana Tata Ruang (RTR) wilayah kabupaten/kota beserta rencana rincinya melalui peta analog dan peta digital (SPM)</t>
  </si>
  <si>
    <t xml:space="preserve">Meningkatkan pengendalian pemanfaatan ruang </t>
  </si>
  <si>
    <t xml:space="preserve">Meningkatkan peran seluruh sektor dalam pengendalian pemanfaatan ruang </t>
  </si>
  <si>
    <t>Terlaksananya penjaringan aspirasi  masyarakat melalui forum konsultasi publik yang memenuhi syarat inklusif dalam proses penyusunan RTR dan program pemanfaatan ruang (SPM)</t>
  </si>
  <si>
    <t xml:space="preserve">Mengoptimalkan sosialisasi dan pengawasan penyelenggaraan penataan ruang </t>
  </si>
  <si>
    <t xml:space="preserve">Penegakan Hukum bagi pelanggaran pemanfaatan ruang </t>
  </si>
  <si>
    <t>Terlaksananya tindakan awal terhadap pengaduan masyarakat tentang pelanggaran dibidang penataan ruang,dalam waktu 5 (lima ) hari kerja (SPM)</t>
  </si>
  <si>
    <t>1.1.5</t>
  </si>
  <si>
    <t>Meningkatnya layanan transportasi</t>
  </si>
  <si>
    <t>Meningkatkan kualitas sistem transportasi pedesaaan dan perkotaan</t>
  </si>
  <si>
    <t>Meningkatkan pelayanan transportasi yang layak dan memadai</t>
  </si>
  <si>
    <t>Tersedianya angkutan umum yang melayani wilayah yang telah tersedia jaringan jalan untuk jaringan jalan kabupaten (SPM)</t>
  </si>
  <si>
    <t>Program peningkatan pelayanan angkutan</t>
  </si>
  <si>
    <t>DISHUB</t>
  </si>
  <si>
    <t>DISHUBKOMINFO</t>
  </si>
  <si>
    <t>Tersedianya angkutan umum yang melayani jaringan trayek yang menghubungan daerah tertinggal dan terpencil dengan wilayah yang telah berkembang pada wilayah yang telah tersedia jaringan jalan kabupaten (SPM)</t>
  </si>
  <si>
    <t>Tersedianya halte terminal angkutan penumpang pada setiap kabupaten yang telah dilayani angkutan umum dalam trayek (SPM)</t>
  </si>
  <si>
    <t>Program Pembangunan Prasarana dan fasilitas Perhubungan</t>
  </si>
  <si>
    <t>Tersedianya terminal angkutan  penumpang pada setiap kabupaten yang telah dilayani angkutan dalam trayek (SPM)</t>
  </si>
  <si>
    <t>Tersedianya fasilitas perlengkapan jalan (rambu,maka,dan guardril) dan penerangan jalan umum (PJU) pada jalan kabupaten (SPM)</t>
  </si>
  <si>
    <t>Program peningkatan dan pengamanan lalu lintas</t>
  </si>
  <si>
    <t>Tersedianya unit pengujian kendaraan bermotor bagi kabupaten yang memiliki populasi kendaraan wajib uji minimal 4000(empat ribu) kendaraan wajib uji (SPM)</t>
  </si>
  <si>
    <t>Program peningkatan kelayakan pengoperasian kendaraan bermotor</t>
  </si>
  <si>
    <t>Tersedianya Sumber Daya Manusia (SDM) dibidang terminal pada kabupaten yang telah memiliki terminal (SPM)</t>
  </si>
  <si>
    <t>6 Orang</t>
  </si>
  <si>
    <t>Menjadikan masyarakat untuk disiplin dalam berkendaraan berlalu lintas</t>
  </si>
  <si>
    <t>4 Kali Razia</t>
  </si>
  <si>
    <t>4 Kali Razia / tahun</t>
  </si>
  <si>
    <t>Tersedianya Sumber Daya Manusia (SDM) dibidang pengujian kendaraan bermotor pada kabpaten yang telah melakukan pengujian berkala kendaraan bermotor (SPM)</t>
  </si>
  <si>
    <t>3 Orang</t>
  </si>
  <si>
    <t>4 Orang</t>
  </si>
  <si>
    <t>Tersedianya Sumber Daya Manusia (SDM) dibidang MRLL,Evaluasi Andalalin,Pengelolaan parkir pada Kabupaten (SPM)</t>
  </si>
  <si>
    <t>Tersedianya Sumber Daya Manusia (SPM) yang memiliki kompetensi sebagai pengawas kelaikan kendaraan pada setiap perusahaan angkutan umum (SPM)</t>
  </si>
  <si>
    <t>Terpenuhinya standar keselamatan bagi angkutan umum yang melayani trayek di dalam Kabupaten (SPM)</t>
  </si>
  <si>
    <t>1.1.6</t>
  </si>
  <si>
    <t>Meningkatnya layanan komunikasi dan informasi</t>
  </si>
  <si>
    <t>Meningkatkan pemerataan layanan kominfo</t>
  </si>
  <si>
    <t>Memenuhi kebutuhan kominfo bagi masyarakat</t>
  </si>
  <si>
    <t>Pelaksanaan Diseminasi dan pendistribusian Informasi nasional  melalui Media massa (SPM)</t>
  </si>
  <si>
    <t>1 Unit</t>
  </si>
  <si>
    <t>Memperluas jangkauan promosi dan publikasi program pembangunan</t>
  </si>
  <si>
    <t>Pelaksanaan Diseminasi dan pendistribusian Informasi nasional  melalui Media baru/website/media online (SPM)</t>
  </si>
  <si>
    <t>1 Web LPSE</t>
  </si>
  <si>
    <t>1 Web Site</t>
  </si>
  <si>
    <t>Program Pengembangan Komunikasi, Informasi dan Media Massa</t>
  </si>
  <si>
    <t>KOMINFO</t>
  </si>
  <si>
    <t>Pelaksanaan Diseminasi dan pendistribusian Informasi nasional  melalui Media tradisional (SPM)</t>
  </si>
  <si>
    <t>Program pengkajian dan penelitian bidang komunikasi dan informasi</t>
  </si>
  <si>
    <t>Pelaksanaan Diseminasi dan pendistribusian Informasi nasional  melalui Media interpersonal :sarasehan,ceramah,lokakarya (SPM)</t>
  </si>
  <si>
    <t>Program peningkatan sarana dan prasarana komunikasih dan informasih</t>
  </si>
  <si>
    <t>Pelaksanaan Diseminasi dan pendistribusian Informasi nasional  melalui Media luar ruang :   leaflet,buletin,booklet,brosur, spanduk,baliho(SPM)</t>
  </si>
  <si>
    <t>50 Spanduk, 50 Baleho</t>
  </si>
  <si>
    <t>50 Spanduk, 50 Baleho / Tahun</t>
  </si>
  <si>
    <t>Cakupan pengembangan dan pemberdyaan kelompok informasi di tingkat kecamatan (SPM)</t>
  </si>
  <si>
    <t>1 WIM</t>
  </si>
  <si>
    <t>5 Wim dan 4 ICT</t>
  </si>
  <si>
    <t>Adanya penerapan sistem informasi berbasis teknologi informasi</t>
  </si>
  <si>
    <t>1 Kali</t>
  </si>
  <si>
    <t>Program kerjasama informasi dan media massa</t>
  </si>
  <si>
    <t>Adanya website milik pemda yang ter update</t>
  </si>
  <si>
    <t>2 Web site</t>
  </si>
  <si>
    <t xml:space="preserve">Adanya LPSE bagi pengadaan/pelelangan </t>
  </si>
  <si>
    <t>Ekobang SETDA</t>
  </si>
  <si>
    <t>II</t>
  </si>
  <si>
    <t>MISI I I : MENINGKATKAN PEREKONOMIAN DAERAH DAN MASYARAKAT</t>
  </si>
  <si>
    <t>2.1.1</t>
  </si>
  <si>
    <t xml:space="preserve">Terpenuhinya kebutuhan pokok (pangan) masyarakat </t>
  </si>
  <si>
    <t>Meningkatakan produktivitas sektor -sektor potensial</t>
  </si>
  <si>
    <t xml:space="preserve">Peningkatan produktivitas sektor potensial melalui  revitalisasi sektor - sektor potensial </t>
  </si>
  <si>
    <t>Prosentase area pertanian produktif</t>
  </si>
  <si>
    <t>DP3</t>
  </si>
  <si>
    <t>Menjaga keseimbangan cadangan pangan</t>
  </si>
  <si>
    <t xml:space="preserve">Melakukan rehabilitasi  untuk  kelestarian lahan </t>
  </si>
  <si>
    <t>Prosentase area perkebunan produktif</t>
  </si>
  <si>
    <t>Program peningkatan kesejahteraan petani</t>
  </si>
  <si>
    <t>Perkebunan</t>
  </si>
  <si>
    <t>Meningkatkan pembangunan sarana prasarana sektor -sektor potensial</t>
  </si>
  <si>
    <t>Pemenuhan kebutuhan sarana prasarana sektor potensial</t>
  </si>
  <si>
    <t>Prosentase area perikanan produktif/ Luas area perikanan produktif</t>
  </si>
  <si>
    <t>683 ha</t>
  </si>
  <si>
    <t>703 ha</t>
  </si>
  <si>
    <t>Program Pengembangan Budidaya Perikanan</t>
  </si>
  <si>
    <t>Kelautan dan Perikanan</t>
  </si>
  <si>
    <t>Produktivitas perikanan</t>
  </si>
  <si>
    <t>Meningkatkan peran penyuluh</t>
  </si>
  <si>
    <t>Meningkatkan kapasitas dan kinerja penyuluh</t>
  </si>
  <si>
    <t>Luas area peternakan produktif/ Luas area peternakan produktif</t>
  </si>
  <si>
    <t>-</t>
  </si>
  <si>
    <t>26 ha</t>
  </si>
  <si>
    <t>Program Peningkatan Produksi hasil Peternakan</t>
  </si>
  <si>
    <t>Pertanian</t>
  </si>
  <si>
    <t>Meningkatkan produktivitas sektor-sektor potensial</t>
  </si>
  <si>
    <t>Prosentase area hutan</t>
  </si>
  <si>
    <t>Hutan produksi</t>
  </si>
  <si>
    <t>hutan kemasyarakatan</t>
  </si>
  <si>
    <t>hutan non kayu</t>
  </si>
  <si>
    <t>hutan tanaman</t>
  </si>
  <si>
    <t xml:space="preserve"> Produktivitas tanaman pangan/ Luas produksi kawaan tanaman pangan</t>
  </si>
  <si>
    <t>Program Peningkatan Ketahanan Pangan (Pertanian/Perkebunan)</t>
  </si>
  <si>
    <t>Ketahanan Pangan</t>
  </si>
  <si>
    <t>PADI</t>
  </si>
  <si>
    <t>14091 ha</t>
  </si>
  <si>
    <t>21391 ha</t>
  </si>
  <si>
    <t>JAGUNG</t>
  </si>
  <si>
    <t>8.668 ha</t>
  </si>
  <si>
    <t>11668 ha</t>
  </si>
  <si>
    <t>KEDELAI</t>
  </si>
  <si>
    <t>30 ha</t>
  </si>
  <si>
    <t>Produktivitas Tanaman Perkebunan (Kg/Ha/Th)</t>
  </si>
  <si>
    <t>Program peningkatan pemasaran hasil produksi pertanian/perkebunan</t>
  </si>
  <si>
    <t>- Kopi = Total Produksi 1 Th/ Luas TM</t>
  </si>
  <si>
    <t>400 /Kg/Thun</t>
  </si>
  <si>
    <t>480Kg/Ha/Th</t>
  </si>
  <si>
    <t>- Karet = Total Produksi/ Luas TM</t>
  </si>
  <si>
    <t>3830/kg/thun</t>
  </si>
  <si>
    <t>4596/Kg/Thn</t>
  </si>
  <si>
    <t>produktivitas tanaman Holtikultura /Luas produksi kawasan holtikultura</t>
  </si>
  <si>
    <t>Program peningkatan produksi pertanian/perkebunan</t>
  </si>
  <si>
    <t>JERUK</t>
  </si>
  <si>
    <t>20.263 ha</t>
  </si>
  <si>
    <t>20303 ha</t>
  </si>
  <si>
    <t>DURIAN</t>
  </si>
  <si>
    <t>46.57 ha</t>
  </si>
  <si>
    <t>46650 ha</t>
  </si>
  <si>
    <t>DUKU</t>
  </si>
  <si>
    <t>2.297 ha</t>
  </si>
  <si>
    <t>2327 ha</t>
  </si>
  <si>
    <t xml:space="preserve">Produktivitas daging ternak </t>
  </si>
  <si>
    <t xml:space="preserve"> Program Pencegahan Penanggulangan Penyakit Ternak</t>
  </si>
  <si>
    <t>SAPI</t>
  </si>
  <si>
    <t>KAMBING</t>
  </si>
  <si>
    <t>AYAM</t>
  </si>
  <si>
    <t>ITIK</t>
  </si>
  <si>
    <t>Produktivitas Telur</t>
  </si>
  <si>
    <t>Besaran konsumsi masyarakat terhadap pangan (SPM)</t>
  </si>
  <si>
    <t xml:space="preserve">Program Peningkatan Kesejahteraan Petani </t>
  </si>
  <si>
    <t>BP2KP</t>
  </si>
  <si>
    <t>Ketersediaan energi protein perkapita (SPM)</t>
  </si>
  <si>
    <t>51 gr</t>
  </si>
  <si>
    <t>57 gr</t>
  </si>
  <si>
    <t>Program Peningkatan Produksi Pertanian/Perkebunan</t>
  </si>
  <si>
    <t>Pengentasan dan pembinaan keamanan pangan (SPM)</t>
  </si>
  <si>
    <t>Program pemberdayaan penyuluh pertanian / perkebunan</t>
  </si>
  <si>
    <t>Stabilitas harga dan pasokan pangan (SPM)</t>
  </si>
  <si>
    <t>Program Penerapan teknologi Pertanian/Perkebunan</t>
  </si>
  <si>
    <t>Ketersediaan informasi pasokan,harga dan akses pangan di daerah (SPM)</t>
  </si>
  <si>
    <t>Program Peningkatan Ketahanan Pangan pertanian/perkebunan</t>
  </si>
  <si>
    <t>Skor Pola Pangan Harapan (PPH) (SPM)</t>
  </si>
  <si>
    <t>1900 Kkal</t>
  </si>
  <si>
    <t>2200 Kkal</t>
  </si>
  <si>
    <t>Penanganan Daerah rawan pangan (SPM)</t>
  </si>
  <si>
    <t>Adanya bantuan peralatan/bibit</t>
  </si>
  <si>
    <t xml:space="preserve">Pertanian/ Jumlah bantuan hand tractor kepada kelompok tani/petani </t>
  </si>
  <si>
    <t>215 Unit</t>
  </si>
  <si>
    <t>260 U nit</t>
  </si>
  <si>
    <t>Perikanan/ jumlah bantuan pakan ikan yang terdistribusi</t>
  </si>
  <si>
    <t>60500 Kg</t>
  </si>
  <si>
    <t>91607 Kg</t>
  </si>
  <si>
    <t>Perikanan/ jumlah bantuan bibit ikan yang terdistribusi</t>
  </si>
  <si>
    <t>12000 Kg</t>
  </si>
  <si>
    <t>18 Kg</t>
  </si>
  <si>
    <t>Peternakan/ pembelian dan pendistribusian vaksin dan pakan ternak</t>
  </si>
  <si>
    <t>13220 Kg</t>
  </si>
  <si>
    <t>Peternakan/ Jumlah bantuan mesin tetas telur untuk peternak</t>
  </si>
  <si>
    <t>46 Unit</t>
  </si>
  <si>
    <t>81 Unit</t>
  </si>
  <si>
    <t>Jumlah Bantuan Benih/Bibit Unggul Perkebunan Siap Tanam (Adanya bantuan peralatan/bibit perkebunan)</t>
  </si>
  <si>
    <t>Bibit Karet 20.000 batang, pupuk NPK 2000 Kg, Lapun 400 unit, Tombak Berburu babi 400 unit</t>
  </si>
  <si>
    <t>Enterse Kopi 40.000 Batang, kakao 40.000 Batang, karet 309.000 batang</t>
  </si>
  <si>
    <t>Program pengawasan dan penertiban kegiatan rakyat yang berpotensi merusak lingkungan</t>
  </si>
  <si>
    <t>Jumlah sarana prasarana dibangun</t>
  </si>
  <si>
    <t>Panjang Jalan Usaha Tani (JUT) yang terbangun</t>
  </si>
  <si>
    <t>45 Unit</t>
  </si>
  <si>
    <t>140 Unit</t>
  </si>
  <si>
    <t>Jumlah Bendung Kecil yang terbangun</t>
  </si>
  <si>
    <t>2 Unit</t>
  </si>
  <si>
    <t>22 Unit</t>
  </si>
  <si>
    <t>Panjang Dam Parit yang terbangun</t>
  </si>
  <si>
    <t>6 Unit</t>
  </si>
  <si>
    <t>41 Unit</t>
  </si>
  <si>
    <t>Perikanan</t>
  </si>
  <si>
    <t xml:space="preserve">Kolam untuk UPR yang terbangun </t>
  </si>
  <si>
    <t>39 Unit</t>
  </si>
  <si>
    <t>Peternakan</t>
  </si>
  <si>
    <t xml:space="preserve"> Fasilitas pendukung RPH (jalan, pagar,pembuangan limbah, sumur bor) yang terbangun</t>
  </si>
  <si>
    <t>1 unit</t>
  </si>
  <si>
    <t>30 Unit</t>
  </si>
  <si>
    <t>Jumlah Sarana Prasarana perkebunan dibangun</t>
  </si>
  <si>
    <t>gudang 4 unit Lantai Jemur 48 Unit, Jalan Usaha Tani 12 Km</t>
  </si>
  <si>
    <t>perkebunan</t>
  </si>
  <si>
    <t>Prosentase Pekebun yang Menerapkan Teknologi (Teknologi Kopi Sambung)</t>
  </si>
  <si>
    <t>880 Ha</t>
  </si>
  <si>
    <t>1.005 Ha</t>
  </si>
  <si>
    <t>Program peningkatan produksi pertanian/ perkebunan</t>
  </si>
  <si>
    <t xml:space="preserve">Frekuensi penyuluhan per bulan </t>
  </si>
  <si>
    <t>16 kali/bulan</t>
  </si>
  <si>
    <t>32 kali/bln</t>
  </si>
  <si>
    <t>Adanya database  kelompok tani (pertanian, peternakan, perkebunan, dan kehutanan)</t>
  </si>
  <si>
    <t xml:space="preserve">Penumbuhan Kelompok Tani </t>
  </si>
  <si>
    <t>Penguatan Cadangan Pangan dan Daerah Rawan Pangan</t>
  </si>
  <si>
    <t>2.1.2</t>
  </si>
  <si>
    <t>Meningkatnya daya saing sektor industri kecil menengah,ekonomi kreatif  dan UMKM</t>
  </si>
  <si>
    <t>Meningkatkan kualitas produk IKM dan UMKM</t>
  </si>
  <si>
    <t>Meningkatkan daya dukung pemerintah daerah</t>
  </si>
  <si>
    <t>Jumlah IKM yang dibina</t>
  </si>
  <si>
    <t>5 Kelompok</t>
  </si>
  <si>
    <t>12 Kelompok</t>
  </si>
  <si>
    <t>Program Pengembangan Industri Kecil dan Menengah</t>
  </si>
  <si>
    <t>Industri</t>
  </si>
  <si>
    <t>PERINDAG</t>
  </si>
  <si>
    <t>Meningkatkan produktivitas IKM,ekonomi kreatif dan UMKM</t>
  </si>
  <si>
    <t>Regulasi yang mendukung iklim usaha</t>
  </si>
  <si>
    <t>Prosentase jumlah tenaga kerja per jumlah IKM</t>
  </si>
  <si>
    <t>Program Peningkatan Kemampuan Teknologi Industri</t>
  </si>
  <si>
    <t>Peningkatan Kapasitas IPTEK Sistem Produksi</t>
  </si>
  <si>
    <t xml:space="preserve">Melaksanakan penataan sentra - industri dan PKL/asongan  </t>
  </si>
  <si>
    <t>Penyiapan lokasi bagi sentra industri dan PKL/asongan</t>
  </si>
  <si>
    <t>Adanya sentra industri</t>
  </si>
  <si>
    <t>3 Kecamatan</t>
  </si>
  <si>
    <t>10 Kecamatan</t>
  </si>
  <si>
    <t>Program Pengembangan Sentra-sentra Industri Potensial</t>
  </si>
  <si>
    <t>Program Penataan Struktur Industri</t>
  </si>
  <si>
    <t>Pengembangan Infra Struktur Perdagangan</t>
  </si>
  <si>
    <t>Perdagangan</t>
  </si>
  <si>
    <t>Program Pembinaan pedagang kaki lima dan asongan</t>
  </si>
  <si>
    <t>Program Peningkatan dan Pengembangan Ekspor</t>
  </si>
  <si>
    <t>Program Peningkatan Efisiensi Perdagangan Dalam Negeri</t>
  </si>
  <si>
    <t>Adanya sentra PKL/ Asongan</t>
  </si>
  <si>
    <t>1 sentra</t>
  </si>
  <si>
    <t>2 sentra</t>
  </si>
  <si>
    <t>DPK.3</t>
  </si>
  <si>
    <t>Penguatan permodalan dan manajemen pengelolaan</t>
  </si>
  <si>
    <t>Peningkatan dukungan pemerintah dalam permodalan dan kelembagaan</t>
  </si>
  <si>
    <t xml:space="preserve"> Jumlah  UKM Produktif</t>
  </si>
  <si>
    <t xml:space="preserve"> 250 UKM</t>
  </si>
  <si>
    <t xml:space="preserve"> 1001 UKM</t>
  </si>
  <si>
    <t>Program Pengembangan Sistem Pendukung Usaha Bagi Usaha Mikro Kecil Menengah</t>
  </si>
  <si>
    <t>Koperasi dan Usaha Kecil Menengah</t>
  </si>
  <si>
    <t>DISKOP &amp; UKM</t>
  </si>
  <si>
    <t>Jumlah tenaga kerja dalam  UKM</t>
  </si>
  <si>
    <t xml:space="preserve"> 2.156 orang</t>
  </si>
  <si>
    <t xml:space="preserve"> 8005 orang</t>
  </si>
  <si>
    <t>Program penciptaan iklim Usaha Kecil Menengah yang kondusif</t>
  </si>
  <si>
    <t xml:space="preserve"> Jumlah UKM yang dibina</t>
  </si>
  <si>
    <t xml:space="preserve"> 1078 UKM</t>
  </si>
  <si>
    <t xml:space="preserve"> 4003 UKM</t>
  </si>
  <si>
    <t>Program Pengembangan Kewirausahaan dan Keunggulan Kompetitif Usaha Kecil Menengah</t>
  </si>
  <si>
    <t>Jumlah UMKM yang menerima bantuan</t>
  </si>
  <si>
    <t>Adanya pengembangan ekonomi kreatif daerah</t>
  </si>
  <si>
    <t>Tingkat partisipasi tenaga kerja sektor ekonomi kreatif</t>
  </si>
  <si>
    <t>0 orang</t>
  </si>
  <si>
    <t>60 orang</t>
  </si>
  <si>
    <t>Program pengembangan kemitraan</t>
  </si>
  <si>
    <t>Ekonomi Kreatif</t>
  </si>
  <si>
    <t>Dinas Kebudayaan dan Pariwisata</t>
  </si>
  <si>
    <t>Pertumbuhan produktivitas tenaga kerja sektor ekonomi kreatif</t>
  </si>
  <si>
    <t>Kontribusi unit usaha di sektor ekonomi kreatif terhadap unit usaha nasional</t>
  </si>
  <si>
    <t>Jumlah jenis produksi yang diekembangkan</t>
  </si>
  <si>
    <t>0 produksi</t>
  </si>
  <si>
    <t>6 produksi</t>
  </si>
  <si>
    <t xml:space="preserve">Adanya regulasi  perlindungan produk </t>
  </si>
  <si>
    <t>0 Regulasi</t>
  </si>
  <si>
    <t>2 Regulasi</t>
  </si>
  <si>
    <t>Program Perlindungan Konsumen dan pengamanan perdagangan</t>
  </si>
  <si>
    <t>2.1.3</t>
  </si>
  <si>
    <t>Meningkatnya peran koperasi</t>
  </si>
  <si>
    <t>Memperkuat kelembagaan koperasi</t>
  </si>
  <si>
    <t>Rata - rata jumlah anggota koperasi</t>
  </si>
  <si>
    <t xml:space="preserve"> 2.480 orang</t>
  </si>
  <si>
    <t xml:space="preserve"> 4000 0rang</t>
  </si>
  <si>
    <t xml:space="preserve"> Jumlah Koperasi  yang dibina</t>
  </si>
  <si>
    <t xml:space="preserve"> 124 Koperasi</t>
  </si>
  <si>
    <t>200 koperasi</t>
  </si>
  <si>
    <t xml:space="preserve"> Jumlah Koperasi  Produktif</t>
  </si>
  <si>
    <t>52 koperasi</t>
  </si>
  <si>
    <t>105 koperasi</t>
  </si>
  <si>
    <t>Meningkatkan sosialisasi perkoperasiam</t>
  </si>
  <si>
    <t>Mengoptimalkan sosialisasi perkoperasian</t>
  </si>
  <si>
    <t xml:space="preserve"> Intensitas Sosialisasi perkoperasian</t>
  </si>
  <si>
    <t>Program Peningkatan Kualitas Kelembagaan Koperasi</t>
  </si>
  <si>
    <t>Jumlah pelatihan kewirausahaan</t>
  </si>
  <si>
    <t>1 pelatihan</t>
  </si>
  <si>
    <t>2 pelatihan</t>
  </si>
  <si>
    <t>Jumlah pelatihan manajemen pengelolaan Koperasi dan UKM</t>
  </si>
  <si>
    <t>3 pelatihan</t>
  </si>
  <si>
    <t>2.2.2</t>
  </si>
  <si>
    <t>Berkembangnya investasi daerah</t>
  </si>
  <si>
    <t>Menciptakan iklim yang kondusif bagi peningkatan investasi</t>
  </si>
  <si>
    <t>Meningkatkan keamanan, kenyamanan bagi investor</t>
  </si>
  <si>
    <t>Jumlah investor</t>
  </si>
  <si>
    <t>_</t>
  </si>
  <si>
    <t>5 investor</t>
  </si>
  <si>
    <t xml:space="preserve">Penanaman Modal </t>
  </si>
  <si>
    <t xml:space="preserve">KPPT </t>
  </si>
  <si>
    <t>Meningkatkan peluang -peluang investasi</t>
  </si>
  <si>
    <t>Pembangunan akses peluang investasi dengan mengacu pada RTRW</t>
  </si>
  <si>
    <t>Besaran nilai investasi</t>
  </si>
  <si>
    <t>60 M</t>
  </si>
  <si>
    <t>Program Peningkatan Promosi dan kerjasama Inventasi</t>
  </si>
  <si>
    <t xml:space="preserve">Meningkatkan promosi daerah </t>
  </si>
  <si>
    <t>Publikasi potensi dan kondisi daerah</t>
  </si>
  <si>
    <t xml:space="preserve">Daya serap investasi terhadap tenaga kerja </t>
  </si>
  <si>
    <t>Meningkatkan ketepatan dan kecepatan layanan perijinan</t>
  </si>
  <si>
    <t>Meningkatkan kinerja pelayanan perijinan</t>
  </si>
  <si>
    <t>Tersedianya informasi peluang usaha sektor/bidang  usaha unggulan(SPM)</t>
  </si>
  <si>
    <t>5 kali</t>
  </si>
  <si>
    <t>Program Peningkatan kapasitas sumber daya aparatur</t>
  </si>
  <si>
    <t>Terselenggaranya fasilitasi pemerintah daerah dalam rangka kerjasama kemitraaan antara UMKMK tingkat kabupaten dengan pengusaha nasional (SPM)</t>
  </si>
  <si>
    <t>11 Kali</t>
  </si>
  <si>
    <t>Terselenggaranya promosi peluang penanaman modal kabupaten (SPM)</t>
  </si>
  <si>
    <t>Terselenggaranya pelayanan perijinan/non perijinan bidang penanaman modal melalui PTSP sesuai dengan kewenangan pemerintah kabupaten  (SPM)</t>
  </si>
  <si>
    <t>4 kali</t>
  </si>
  <si>
    <t>Terselenggaranya bimbingan pelaksanaan  kegiatan Penanaman Modal kepada masyarakat dunia usaha (SPM)</t>
  </si>
  <si>
    <t>Terimplemenasikannya sistem pelayanan informasi dan perizinan investasi secra elektrionik (SPIPISE) (SPM)</t>
  </si>
  <si>
    <t>Terselenggaranya sosialisasi kebijakan Penanaman modal kepada masyarakat dunia usaha (SPM)</t>
  </si>
  <si>
    <t>Tingkat pelayanan terhaap IUJK (ijin Usaha Jasa Konstruktsi ) SPM</t>
  </si>
  <si>
    <t>Tingkat layanan terhadap IMB (SPM)</t>
  </si>
  <si>
    <t>Terlayaninya masyarakat dalam pengurusan ijin pemanfaatan ruang sesuai dengan perda RTR Kabupaten (SPM)</t>
  </si>
  <si>
    <t>2.3.1</t>
  </si>
  <si>
    <t>Berkurangnya tingkat pengangguran</t>
  </si>
  <si>
    <t>Membuka lapangan kerja</t>
  </si>
  <si>
    <t xml:space="preserve">Membuka akses lapangan kerja melalui program - program pemerintah </t>
  </si>
  <si>
    <t xml:space="preserve">Jumlah angkatan kerja </t>
  </si>
  <si>
    <t>0.2 %</t>
  </si>
  <si>
    <t>Program Peningkatan Kesempatan Kerja</t>
  </si>
  <si>
    <t>Naker</t>
  </si>
  <si>
    <t>Disnakertrans</t>
  </si>
  <si>
    <t>Meningkatkan ketrampilan dan kompetensi pencari kerja</t>
  </si>
  <si>
    <t>Memberikan pembekalan ketrampilan/kompetensi pencari kerja</t>
  </si>
  <si>
    <t xml:space="preserve">Jumlah pengangguran </t>
  </si>
  <si>
    <t>0.7 %</t>
  </si>
  <si>
    <t>Memberikan stimulan mengenai wirausaha bagi pencari kerja melalui program pemerintah</t>
  </si>
  <si>
    <t>Menanamkan enterprenurship pada masyarakat</t>
  </si>
  <si>
    <t>Ratio pencari kerja terhadap angkatan kerja</t>
  </si>
  <si>
    <t>0.2%</t>
  </si>
  <si>
    <t>Jumlah  pencari kerja yang ditempatkan dan  dididik</t>
  </si>
  <si>
    <t>Adanya regulasi ketenagakerjaan</t>
  </si>
  <si>
    <t>4 regulasi</t>
  </si>
  <si>
    <t>Program Perlindungan Pengembangan Lembaga Ketenagakerjaan</t>
  </si>
  <si>
    <t>Adanya regulasi perlindungan ketenagakerjaan</t>
  </si>
  <si>
    <t xml:space="preserve">Besaran tenaga kerja yang mendapatkan pelatihan berbasis kompetensi </t>
  </si>
  <si>
    <t>Besaran pencari kerja yang terdaftar yang ditempatkan</t>
  </si>
  <si>
    <t>265 orang</t>
  </si>
  <si>
    <t>Besaran kasus yang diselesaikan dengan perjanjan bersama (PB)</t>
  </si>
  <si>
    <t>1 kasus</t>
  </si>
  <si>
    <t>21 kasus</t>
  </si>
  <si>
    <t>Besaran pekerja/buruh yang menjadi peserta jamsostek</t>
  </si>
  <si>
    <t>110 orang</t>
  </si>
  <si>
    <t>Besaran pemeriksaan perusahan</t>
  </si>
  <si>
    <t>Besaran pengujan peralatan di perusahaan</t>
  </si>
  <si>
    <t>Adanya balai latihan kerja</t>
  </si>
  <si>
    <t>1 balai latihan kerja</t>
  </si>
  <si>
    <t>Program peningkatan kualitas dan produktivitas tenaga kerja</t>
  </si>
  <si>
    <t>2.4.1</t>
  </si>
  <si>
    <t>Tumbuhnya sektor pariwisata</t>
  </si>
  <si>
    <t>Mengekploitasi  tempat - tempat  wisata potensial</t>
  </si>
  <si>
    <t>Menciptakan iklim yang kondusif bagi pengembangan pariwisata daerah</t>
  </si>
  <si>
    <t>Jumlah obyek wisata potensial yang dibuka dan dikembangkan</t>
  </si>
  <si>
    <t>0 objek wisata</t>
  </si>
  <si>
    <t>6 objek wisata</t>
  </si>
  <si>
    <t>Program Pengembangan Destinasi Pariwisata</t>
  </si>
  <si>
    <t>Pariwisata</t>
  </si>
  <si>
    <t>Jumlah wisatawan berkunjung</t>
  </si>
  <si>
    <t xml:space="preserve">Meningkatkan sarana prasarana pendukung pariwisata </t>
  </si>
  <si>
    <t>Membangun sarana prasarana penunjang di tempat-tempat wisata</t>
  </si>
  <si>
    <t>Daya serap terhadap tenaga kerja</t>
  </si>
  <si>
    <t>Meningkatkan promosi pariwisata daerah</t>
  </si>
  <si>
    <t xml:space="preserve">Meningkatkan peran pemerintah daerah dan stakeholder dalam promosi paiwisata </t>
  </si>
  <si>
    <t>Jumlah pelaku - pelaku usaha pariwisata</t>
  </si>
  <si>
    <t>44 pelaku usaha</t>
  </si>
  <si>
    <t>81  pelaku usaha</t>
  </si>
  <si>
    <t>Program Pengembangan Pemasaran Pariwisata</t>
  </si>
  <si>
    <t>III</t>
  </si>
  <si>
    <t>MISI III: MENINGKATKAN KESEJAHTERAAN SOSIAL DAN BUDAYA</t>
  </si>
  <si>
    <t>3.1.1</t>
  </si>
  <si>
    <t>Meningkatkan akses dan kualitas layanan kesehatan</t>
  </si>
  <si>
    <t>Melengkapi sarana prasarana kesehatan,obat -obatan sesuai dengan standar dan mudah diakses/dijangkau masyarakat</t>
  </si>
  <si>
    <t>Peningkatan sarana/prasarana termasuk obat -obatan sesuai dengan standar</t>
  </si>
  <si>
    <t>Prosentase kelengkapan peralatan medis</t>
  </si>
  <si>
    <t>Program pengadaan, peningkatan, dan perbaikan sarana dan prasaran Puskesmas/puskes pembantu dan jaringannya</t>
  </si>
  <si>
    <t>Kesehatan</t>
  </si>
  <si>
    <t>DINKES</t>
  </si>
  <si>
    <t>Prosentase kelengkapan peralatan non medis</t>
  </si>
  <si>
    <t>Program obat dan perbekalan kesehatan</t>
  </si>
  <si>
    <t>Kemampuan menangani life saving anak dan dewasa</t>
  </si>
  <si>
    <t>Cakupan pemberian makanan pendamping ASI pada anak usia 6-24 bulan keluarga miskin (SPM)</t>
  </si>
  <si>
    <t>Program standarisai pelayanan kesehatan</t>
  </si>
  <si>
    <t>Cakupan pertolongan persalinan oleh tenaga kesehatn yang memiliki kompetensi kebidanan yang ditangani (SPM)</t>
  </si>
  <si>
    <t>Cakupan kunjungan ibu hamil K4 (SPM)</t>
  </si>
  <si>
    <t>Cakupan kunjungan bayi (SPM)</t>
  </si>
  <si>
    <t>cakupan pelayanan ibu nifas (SPM)</t>
  </si>
  <si>
    <t>Cakupan desa/kelurahan universal child imunitation (UCI) SPM</t>
  </si>
  <si>
    <t>Cakupan pelayanan anak balita</t>
  </si>
  <si>
    <t>Cakupan penjaringan kesehatan siswa SD dan setingkat (SPM)</t>
  </si>
  <si>
    <t>Cakupan layanan kesehatan usia lanjut</t>
  </si>
  <si>
    <t>Program peningkatan kesehatan Lansia</t>
  </si>
  <si>
    <t>Cakupan pelayanan dasar masyarakat miskin (SPM)</t>
  </si>
  <si>
    <t>Program Pelayanan kesehatan penduduk miskin</t>
  </si>
  <si>
    <t>Cakupan pelayanan kesehatan rujukan pasien masyarakat miskin (SPM)</t>
  </si>
  <si>
    <t>Cakupan pelayanan gawat darurat level 1 yang harus diberikan sarana kesehatan (RS) di kab/kota</t>
  </si>
  <si>
    <t>16,24%</t>
  </si>
  <si>
    <t>61,5%</t>
  </si>
  <si>
    <t>Program upaya kesehatan masyarakat</t>
  </si>
  <si>
    <t>RSUD</t>
  </si>
  <si>
    <t>Cakupan Desa Siaga Aktif (SPM)</t>
  </si>
  <si>
    <t>Meningkatkan kualitas pelayanan kesehatan sesuai dengan SPM</t>
  </si>
  <si>
    <t>Meningkatkan kinerja untuk mencapai kualitas pelayanan sesuai dengan SPM</t>
  </si>
  <si>
    <t>Jam buka pelayanan gawat darurat</t>
  </si>
  <si>
    <t>Pemberian pelayanan kegawat daruratan yang bersertifikat yang masih berlaku BLS/PPGD</t>
  </si>
  <si>
    <t>33,3%</t>
  </si>
  <si>
    <t>Program peningkatan kapasitas sumber daya aparatur</t>
  </si>
  <si>
    <t>Dokter pemberi pelayanan di poliklinik spesialis (rawat jalan)</t>
  </si>
  <si>
    <t>30,76%</t>
  </si>
  <si>
    <t>69,23%</t>
  </si>
  <si>
    <t>Program peningkatan disiplin aparatur</t>
  </si>
  <si>
    <t>Waktu buka rawat jalan 08.00 - 13.00 setiap hari</t>
  </si>
  <si>
    <t>08.00 s/d 13.00 setiap hari  kerja kecuali jumat jam 08.00 s/d 11.00</t>
  </si>
  <si>
    <t>Waktu tunggu dirawat jalan &lt; 60 menit</t>
  </si>
  <si>
    <t>60 menit</t>
  </si>
  <si>
    <t>10 menit</t>
  </si>
  <si>
    <t>Dokter penanggungjawab pasien rawat inap</t>
  </si>
  <si>
    <t>belum ada</t>
  </si>
  <si>
    <t>75,94%</t>
  </si>
  <si>
    <t>Jam visite dokter spesialis 08.00 - 14.00 setiap hari</t>
  </si>
  <si>
    <t>30,76</t>
  </si>
  <si>
    <t>Kematian pasien &lt; 48 jam (rawat inap)</t>
  </si>
  <si>
    <t>3,80%</t>
  </si>
  <si>
    <t>2,53%</t>
  </si>
  <si>
    <t xml:space="preserve">Program pengadaan, peningkatan sarana dan prasarana rumah sakit/rumah sakit jiwa/rumah sakit paru-paru/rumah sakit mata </t>
  </si>
  <si>
    <t>Pemberian pelatihan bagi tenaga kesehatan s.d 20 jam</t>
  </si>
  <si>
    <t>12,38%</t>
  </si>
  <si>
    <t>99,23%</t>
  </si>
  <si>
    <t>Kemampuan menangani BBLR 1500 gr - 2500 gr</t>
  </si>
  <si>
    <t>70,00%</t>
  </si>
  <si>
    <t>Pertolongan persalinan melalui seksio cesaria</t>
  </si>
  <si>
    <t>Pelayanan terhadap  pasien GAKIN yang datang ke RS pada setiap unit pelayanan</t>
  </si>
  <si>
    <t xml:space="preserve">Program promosi kesehatan dan pemberdayaan masyarakat </t>
  </si>
  <si>
    <t>3.1.2</t>
  </si>
  <si>
    <t>Menurunnya jumlah kematian yang disebabkan oleh masalah kesehatan</t>
  </si>
  <si>
    <t>Mengendalikan penyakit menular maupun tidak menular melalui pelayanan dan perhatian dibidang kesehatan</t>
  </si>
  <si>
    <t>Meningkatkan intensitas dalam pengendalian penyakit menular maupun tidak menular melalui pelayanan dan perhatian dibidang kesehatan</t>
  </si>
  <si>
    <t>Angka harapan hidup</t>
  </si>
  <si>
    <t>66 Tahun</t>
  </si>
  <si>
    <t>72 Tahun</t>
  </si>
  <si>
    <t>Program Pengawasan obat dan makanan</t>
  </si>
  <si>
    <t>Angka kematian bayi per 1000 kelahiran hidup</t>
  </si>
  <si>
    <t>34 per 1000 kelahiran hidup</t>
  </si>
  <si>
    <t>19 per 1000 kelahiran hidup</t>
  </si>
  <si>
    <t>Program Pencegahan dan Penaggulanagan penyakit menular</t>
  </si>
  <si>
    <t>Angka kematian ibu per 100.000 kelahiran hidup</t>
  </si>
  <si>
    <t>155 per 100.000 kelahiran hidup</t>
  </si>
  <si>
    <t>100 per 100.000 kelahiran hidup</t>
  </si>
  <si>
    <t>Program peningkatan keselamatan ibu dan anak</t>
  </si>
  <si>
    <t>Cakupan ibu hamil dengan komplikasi yang ditangani (SPM)</t>
  </si>
  <si>
    <t>Cakupan neonatal dengan komplikasi yang ditangani (SPM)</t>
  </si>
  <si>
    <t>Cakupan Balita gizi buruk mendapat perawatan. (SPM)</t>
  </si>
  <si>
    <t>Program Perbaikan Gizi masyarakat</t>
  </si>
  <si>
    <t xml:space="preserve">Cakupan penemuan dan penanganan penderita penyakit </t>
  </si>
  <si>
    <t>Program Pengawasan dan Pengendalian Bahan Makanan</t>
  </si>
  <si>
    <t>Cakupan desa/kelurahan mengalami KLB yag dilakukan penyelidikan epidemiologi ≤ 24 jam (SPM)</t>
  </si>
  <si>
    <t>Cakupan perempuan dan anak Korban kekerasan yang mendapatkan layanan kesehatan oeh tenaga kesehatan terlatih (SPM)</t>
  </si>
  <si>
    <t>3.1.3</t>
  </si>
  <si>
    <t>Meningkatkan kesadaran masyarakat akan pola hidup bersih dan sehat (PHBS)</t>
  </si>
  <si>
    <t>Mengoptimalkan sosialisasi dan  kampanye - kampanye kesehatan</t>
  </si>
  <si>
    <t>Meningkatkan partisipasi masyarakat dalam sosialisasi dan kampanye - kampanye kesehatan</t>
  </si>
  <si>
    <t>Prosentase rumahtangga dengan PHBS</t>
  </si>
  <si>
    <t>Program Pengembangan Lingkungan Sehat</t>
  </si>
  <si>
    <t>Prosentase sekolah yang melakukan kampanye dan menerapkan PHBS</t>
  </si>
  <si>
    <t>Program Promosi Kesehatan dan Pemberdayaan Masyarakat</t>
  </si>
  <si>
    <t>Prosentase pabrik/tempat pengolahan makanan yang dibina/diawasi</t>
  </si>
  <si>
    <t>Program Kemitraan peningkatan kesehatan</t>
  </si>
  <si>
    <t>Meningkatkan pembinaan budaya olahraga</t>
  </si>
  <si>
    <t>Membangun sarana prasarana olahraga yang berkualitas</t>
  </si>
  <si>
    <t>Jumlah sarana prasarana olahraga yang memenuhi standar</t>
  </si>
  <si>
    <t>6 sarana prasarana olahraga</t>
  </si>
  <si>
    <t>22 sarana prasarana olahraga</t>
  </si>
  <si>
    <t>Program Peningkatan Sarana dan Prasarana Olahraga</t>
  </si>
  <si>
    <t>Kepemudaan dan Olah Raga</t>
  </si>
  <si>
    <t>Dispora</t>
  </si>
  <si>
    <t>Program Penyediaan Sarana dan Prasarana Kepemudaan</t>
  </si>
  <si>
    <t>Mensosialisasikan budaya olahraga melalui even-even olahraga</t>
  </si>
  <si>
    <t>Jumlah organisasi olahraga aktif</t>
  </si>
  <si>
    <t>9 organisasi olahraga</t>
  </si>
  <si>
    <t>24 organisasi olahraga</t>
  </si>
  <si>
    <t>Program Pengembangan Kebijakan dan manajemen olahraga</t>
  </si>
  <si>
    <t>Program peningkatan peran serta kepemudaan</t>
  </si>
  <si>
    <t>Membentuk wadah /organisasi keolahragaan daerah</t>
  </si>
  <si>
    <t>Frekuensi even - even olahraga</t>
  </si>
  <si>
    <t>7 even olahraga</t>
  </si>
  <si>
    <t>21 even olahraga</t>
  </si>
  <si>
    <t>Program pembinaan dan pemasyarakatan olahraga</t>
  </si>
  <si>
    <t>Program peningkatan upaya penumbuhan kewirausahaan dan kecakapan hidup pemuda</t>
  </si>
  <si>
    <t>3.1.4</t>
  </si>
  <si>
    <t>Menekan laju pertumbuhan penduduk</t>
  </si>
  <si>
    <t>Meningkatkan sosialisasi dan pembinaan mengenai  keluarga berencana dan keluarga sejahtera</t>
  </si>
  <si>
    <t>Peningkatan jumlah peserta keluarga berencana dan keluarga sejahtera</t>
  </si>
  <si>
    <t>Cakupan PUS yang istrinya dibawah usia 20 tahun</t>
  </si>
  <si>
    <t>9,94%</t>
  </si>
  <si>
    <t>6,3%</t>
  </si>
  <si>
    <t>Program pelayanan kontrasepsi</t>
  </si>
  <si>
    <t>Keluarga Berencana dan Keluarga Sejahtera</t>
  </si>
  <si>
    <t>BKBD</t>
  </si>
  <si>
    <t>Cakupan sasaran PUS menjadi peseta KB aktif</t>
  </si>
  <si>
    <t>77,5 %</t>
  </si>
  <si>
    <t>81,78%</t>
  </si>
  <si>
    <t>Cakupan PUS yang ingin berKB tidak terpenuhi (Unmedneed)</t>
  </si>
  <si>
    <t>22,5%</t>
  </si>
  <si>
    <t>14,6%</t>
  </si>
  <si>
    <t>Cakupan anggota keluarga bina keluarga balita (BKB) berKB</t>
  </si>
  <si>
    <t>86,77%</t>
  </si>
  <si>
    <t>86,80%</t>
  </si>
  <si>
    <t>Cakupan PUS anggota usaha peningkatan pendapatan keluarga sejahtera (UPPKS) yang berKB</t>
  </si>
  <si>
    <t>75,40%</t>
  </si>
  <si>
    <t>86,73%</t>
  </si>
  <si>
    <t>Program pengembangan BKB dan UPPKS</t>
  </si>
  <si>
    <t>Rasio petugas lapangan keluarga berencana /penyuluh keuarga berencana berencana (BLKB/PKB) disetiap desa/keluarahan</t>
  </si>
  <si>
    <t>Ratio pembantu pembina KB desa (PPKBD) disetiap desa/kelurahan</t>
  </si>
  <si>
    <t>Cakupan penyediaan alat dan obat kontrasepsi untuk memenuhi permintaan masyarakat</t>
  </si>
  <si>
    <t>Cakupan informasi data mikro keluarga disetiap desa</t>
  </si>
  <si>
    <t>Cakupan peserta KB aktif</t>
  </si>
  <si>
    <t>Program Keluarga berencana</t>
  </si>
  <si>
    <t>Pengendalian penduduk</t>
  </si>
  <si>
    <t>3.2.1</t>
  </si>
  <si>
    <t>Meningkatnya pendidikan yang Berkualitas Secara Merata</t>
  </si>
  <si>
    <t>Meningkatkan Kualitas Pelayanan Pendidikan Sesuai dengan Standar Pelayanan Minimal</t>
  </si>
  <si>
    <t>Peningkatan pelayanan pendidikan usia dini yang berkualitas</t>
  </si>
  <si>
    <t>Pendidikan anak usia dini (PAUD)</t>
  </si>
  <si>
    <t>12,76%</t>
  </si>
  <si>
    <t>16,29%</t>
  </si>
  <si>
    <t>Program pendidikan anak usia dini</t>
  </si>
  <si>
    <t>pendidikan</t>
  </si>
  <si>
    <t>DIKNAS</t>
  </si>
  <si>
    <t>Angka melek huruf</t>
  </si>
  <si>
    <t>30,9%</t>
  </si>
  <si>
    <t>34,80%</t>
  </si>
  <si>
    <t>Program wajib belajar pendidikan dasar sembilan tahun</t>
  </si>
  <si>
    <t>APK/SD</t>
  </si>
  <si>
    <t>98,61%</t>
  </si>
  <si>
    <t>98,80%</t>
  </si>
  <si>
    <t>APM/SD</t>
  </si>
  <si>
    <t>80,22%</t>
  </si>
  <si>
    <t>85,80%</t>
  </si>
  <si>
    <t>Angka putus sekolah SD/MI</t>
  </si>
  <si>
    <t>1,53%</t>
  </si>
  <si>
    <t>3,90%</t>
  </si>
  <si>
    <t>APK SMP</t>
  </si>
  <si>
    <t>85,20%</t>
  </si>
  <si>
    <t>95,25%</t>
  </si>
  <si>
    <t>APM SMP</t>
  </si>
  <si>
    <t>67,17%</t>
  </si>
  <si>
    <t>75,80%</t>
  </si>
  <si>
    <t>Angka putus sekolah SMP/Mts</t>
  </si>
  <si>
    <t>0,05%</t>
  </si>
  <si>
    <t>APK  SMA/SMK</t>
  </si>
  <si>
    <t>97,88%</t>
  </si>
  <si>
    <t>98,60%</t>
  </si>
  <si>
    <t>APM  SMA/SMK</t>
  </si>
  <si>
    <t>85,26%</t>
  </si>
  <si>
    <t>89,91%</t>
  </si>
  <si>
    <t>Angka putus sekolah SMA/SMK</t>
  </si>
  <si>
    <t>0,22%</t>
  </si>
  <si>
    <t>0,06%</t>
  </si>
  <si>
    <t>Peningkatan Pelayanan Pendidikan dasar yang berkualitas Secara Merata</t>
  </si>
  <si>
    <t>Jumlah rata-rata jarak tempuh sekolah dasar maks 3 km (SPM)</t>
  </si>
  <si>
    <t>91,35%</t>
  </si>
  <si>
    <t>94,05%</t>
  </si>
  <si>
    <t>jumlah sekolah dasar dengan siswa per rombel Maks 32 Orang (SPM)</t>
  </si>
  <si>
    <t>5,27%</t>
  </si>
  <si>
    <t>70,27%</t>
  </si>
  <si>
    <t>Prosentase sekolah dasar mempunyai minimal 1 (satu) orang Guru (SPM)</t>
  </si>
  <si>
    <t>25,39%</t>
  </si>
  <si>
    <t>43,24%</t>
  </si>
  <si>
    <t>Prosentase sekolah dasar mempunyai minimal   1 (satu) Ruang Guru (SPM)</t>
  </si>
  <si>
    <t>66,49%</t>
  </si>
  <si>
    <t>94,59%</t>
  </si>
  <si>
    <t>Prosentase sekolah dasar mempunyai minimal 2 (dua) orang guru s1/dIV dan bersertifikat pendidik</t>
  </si>
  <si>
    <t>28,64%</t>
  </si>
  <si>
    <t>40,54%</t>
  </si>
  <si>
    <t>Prosentase sekolah dasar mempunyai 1 (satu) orang Kepala Sekolah s1/dIV Bersertifikat Pendidikan</t>
  </si>
  <si>
    <t>42,16%</t>
  </si>
  <si>
    <t>72,97%</t>
  </si>
  <si>
    <t>Rata-rata kunjungan pengawas Sekolah dasar per bulan (SPM)</t>
  </si>
  <si>
    <t>62,96%</t>
  </si>
  <si>
    <t>85,19%</t>
  </si>
  <si>
    <t>Peningkatan Pelayanan Pendidikan menengah yang berkualitas Secara Merata</t>
  </si>
  <si>
    <t xml:space="preserve">Jumlah rata-rata jarak tempuh sekolah menengah maks 6 km (SPM) </t>
  </si>
  <si>
    <t>70,58%</t>
  </si>
  <si>
    <t>88,89%</t>
  </si>
  <si>
    <t>Jumlah sekolah menegah dengan siswa per rombel Maks 36 Orang (SPM)</t>
  </si>
  <si>
    <t>82,35%</t>
  </si>
  <si>
    <t>Prosentase sekolah menengah mempunyai minimal 1 (satu) )orang Guru (SPM)</t>
  </si>
  <si>
    <t>94,11%</t>
  </si>
  <si>
    <t>94,74%</t>
  </si>
  <si>
    <t>Prosentase sekolah menengah mempunyai minimal   1 (satu) Ruang Guru  (SPM)</t>
  </si>
  <si>
    <t>Prosentase sekolah menengah mempunyai minimal 2 (dua) orang guru s1/dIV dan bersertifikat pendidik</t>
  </si>
  <si>
    <t>Prosentase sekolah menengah mempunyai 1 (satu) orang Kepala Sekolah s1/dIV Bersertifikat Pendidikan</t>
  </si>
  <si>
    <t>94,12%</t>
  </si>
  <si>
    <t>Rata-rata kunjungan pengawas sekolah menegah per bulan (SPM)</t>
  </si>
  <si>
    <t>66,67%</t>
  </si>
  <si>
    <t>92,59%</t>
  </si>
  <si>
    <t>Rata-rata lama sekolah penduduk usia 15  Keatas</t>
  </si>
  <si>
    <t>3 thn</t>
  </si>
  <si>
    <t>Angka kelulusan SD/MI</t>
  </si>
  <si>
    <t>98,21%</t>
  </si>
  <si>
    <t>99,65%</t>
  </si>
  <si>
    <t>program pendidikan menengah</t>
  </si>
  <si>
    <t>Angka kelulusan SMP/MTS</t>
  </si>
  <si>
    <t>99,80%</t>
  </si>
  <si>
    <t>99,81%</t>
  </si>
  <si>
    <t>Angka kelulusan SMS/SMK</t>
  </si>
  <si>
    <t>99,32%</t>
  </si>
  <si>
    <t>pemberian beasiswa bagi siswa bagi siswa berprestasi / Kurang Mampu</t>
  </si>
  <si>
    <t>Jumlah siswa berprestasi penerima beasiswa</t>
  </si>
  <si>
    <t>59 siswa</t>
  </si>
  <si>
    <t>Jumlah siswa kurang mampu penerima  beasiswa</t>
  </si>
  <si>
    <t>10783 siswa</t>
  </si>
  <si>
    <t>8000 siswa</t>
  </si>
  <si>
    <t>Jumlah siswa kurang mampu yang berprestasi penerima beasiswa</t>
  </si>
  <si>
    <t>1000 siswa</t>
  </si>
  <si>
    <t>Memberikan diklat/pelatihan khusus guna Peningkatan Profesionalisme dan kompetensi Tenaga Pendidik</t>
  </si>
  <si>
    <t>Jumlah guru yang lulus diklat dan kualifikasi</t>
  </si>
  <si>
    <t>41,48%</t>
  </si>
  <si>
    <t>48,65 %</t>
  </si>
  <si>
    <t>meningkatkan sarana prasaarana pendidikan</t>
  </si>
  <si>
    <t>melengkapi prasarana prasarana sekolah sesuai dengan standar Kurikulum</t>
  </si>
  <si>
    <t>Jumlah sekolah yang mempunyai perpustakaan          SD</t>
  </si>
  <si>
    <t>79,89%</t>
  </si>
  <si>
    <t>84,66%</t>
  </si>
  <si>
    <t xml:space="preserve">Program Manajemen Pelayanan Pendidikan </t>
  </si>
  <si>
    <t>Jumlah sekolah yang mempunyai perpustakaan          SMP</t>
  </si>
  <si>
    <t>91,18%</t>
  </si>
  <si>
    <t>Jumlah SMP yang mempunyai laboratorium</t>
  </si>
  <si>
    <t>8,82 %</t>
  </si>
  <si>
    <t>26,47 %</t>
  </si>
  <si>
    <t>Jumlah SMA/SMK yang mempunyai perpustakaan seekolah, laboratorium,Ruang bengkel Praktikum</t>
  </si>
  <si>
    <t>41,17 %</t>
  </si>
  <si>
    <t>94,12 %</t>
  </si>
  <si>
    <t>3.3.1</t>
  </si>
  <si>
    <t>Terwujudnya kehidupan masyarakat yang agamis</t>
  </si>
  <si>
    <t>Meningkatkan  kegiatan/aktivitas keagamaan dimasyarakat</t>
  </si>
  <si>
    <t>Meningkatkan kualitas dan kuantitas kegiatan keagamaan</t>
  </si>
  <si>
    <t>Intensitas pengajian dilingkungan masyarakat</t>
  </si>
  <si>
    <t>12 Kali</t>
  </si>
  <si>
    <t>48 Kali</t>
  </si>
  <si>
    <t>Program Pengembangan Mental dan Spritual</t>
  </si>
  <si>
    <t>Kesra SETDA</t>
  </si>
  <si>
    <t>Intensitas pengajian di lingkungan pemerintah daerah</t>
  </si>
  <si>
    <t>24 Kali</t>
  </si>
  <si>
    <t>Prosentase kuota haji daerah</t>
  </si>
  <si>
    <t>31 Jamaah</t>
  </si>
  <si>
    <t>132 Jamaah</t>
  </si>
  <si>
    <t xml:space="preserve">adanya kegiatan keagamaan disekolah </t>
  </si>
  <si>
    <t>10 Sekolah</t>
  </si>
  <si>
    <t>85 Sekolah</t>
  </si>
  <si>
    <t>Lomba/even keagamaam</t>
  </si>
  <si>
    <t>18 Kali</t>
  </si>
  <si>
    <t>Jumlah TPA tiap desa</t>
  </si>
  <si>
    <t>351 TPA</t>
  </si>
  <si>
    <t>569 TPA</t>
  </si>
  <si>
    <t>Meningkatkan sarana prasarana pendukung</t>
  </si>
  <si>
    <t>Meningkatkan sarana prasarana pendukung yang merata dan memadai</t>
  </si>
  <si>
    <t>Adanya program bantuan pembangunan tempat ibadah</t>
  </si>
  <si>
    <t>82 Masjid</t>
  </si>
  <si>
    <t>289 Masjid</t>
  </si>
  <si>
    <t>Jumlah tempat peribadatan</t>
  </si>
  <si>
    <t>Membentuk organisasi keagamaan</t>
  </si>
  <si>
    <t xml:space="preserve">Jumlah organisasi  remaja masjid </t>
  </si>
  <si>
    <t>25 IRMA</t>
  </si>
  <si>
    <t>Memberikan bantuan dana,beasiswa bagi masyarakat berprestasi</t>
  </si>
  <si>
    <t>Jumlah santriwan/santriwati mendapat beasiswa</t>
  </si>
  <si>
    <t>10 Orang</t>
  </si>
  <si>
    <t>3.3.2</t>
  </si>
  <si>
    <t>Terwujudnya masyarakat yang beretika dan berbudaya</t>
  </si>
  <si>
    <t xml:space="preserve">Meningkatkan pemahaman masyarakat akan nilai - nilai etika,budaya dan kesenian </t>
  </si>
  <si>
    <t>Menumbuh kembangkan nilai -nilai etika, budaya dan kesenian berpedoman pada  kearifan lokal</t>
  </si>
  <si>
    <t>Cakupan kajian seni (SPM)</t>
  </si>
  <si>
    <t>5,00%</t>
  </si>
  <si>
    <t>42,85%</t>
  </si>
  <si>
    <t>Program Pengelolaan Keragaman Budaya</t>
  </si>
  <si>
    <t>Kebudayaan</t>
  </si>
  <si>
    <t>Cakupan fasilitasi seni (SPM)</t>
  </si>
  <si>
    <t>10,79%</t>
  </si>
  <si>
    <t>37,14%</t>
  </si>
  <si>
    <t>Program Pengelolaan Kekayaan Budaya</t>
  </si>
  <si>
    <t>Cakupan gelar seni (SPM)</t>
  </si>
  <si>
    <t>31,67%</t>
  </si>
  <si>
    <t>57,53%</t>
  </si>
  <si>
    <t>Program Pengembangan Kerjasama Pengelolaan Kekayaan Budaya</t>
  </si>
  <si>
    <t>Misi kesenian (SPM)</t>
  </si>
  <si>
    <t>83,33%</t>
  </si>
  <si>
    <t>Program Pengembangan Nilai Budaya</t>
  </si>
  <si>
    <t>Jumlah seniman/budayawan (SPM)</t>
  </si>
  <si>
    <t>1 orang</t>
  </si>
  <si>
    <t>11 orang</t>
  </si>
  <si>
    <t>Cakupan SDM kesenian (SPM)</t>
  </si>
  <si>
    <t>7,50%</t>
  </si>
  <si>
    <t>16,25%</t>
  </si>
  <si>
    <t xml:space="preserve">Adanya program pengenalan etika,seni/budaya -budaya daerah disekolah </t>
  </si>
  <si>
    <t>Meningkatkan sarana prasarana seni dan budaya</t>
  </si>
  <si>
    <t>Cakupan tempat seni/budaya (SPM)</t>
  </si>
  <si>
    <t>Cakupan organisasi seni/budaya (SPM)</t>
  </si>
  <si>
    <t>Jumlah lembaga adat</t>
  </si>
  <si>
    <t>1 lembaga</t>
  </si>
  <si>
    <t>7 lembaga</t>
  </si>
  <si>
    <t>Perda  tentang kajian seni budaya</t>
  </si>
  <si>
    <t>0 perda</t>
  </si>
  <si>
    <t>2 perda</t>
  </si>
  <si>
    <t>3.4.1</t>
  </si>
  <si>
    <t>Meningkatnya partisipasi masyarakat dalam pembangunan daerah</t>
  </si>
  <si>
    <t>Meningkatkan kesadaran masyarakat akan pentingnya berpartisipasi dalam pembangunan.</t>
  </si>
  <si>
    <t>Melibatkan masyarakat dalam melaksanakan program pemerintah</t>
  </si>
  <si>
    <t>Prosentase  keterlibatan masyarakat  dalam program PNPM dan PDPM EMASS</t>
  </si>
  <si>
    <t>Program peningkatan partisipasi masyarakat dalam membangun desa</t>
  </si>
  <si>
    <t>Pemberdayaan Masyarakat dan Desa</t>
  </si>
  <si>
    <t>BPMPD</t>
  </si>
  <si>
    <t>Prosentase keterlibatan masyarakat dalam pilkades</t>
  </si>
  <si>
    <t>Program peningkatan kapasitas Aparatur Pemdes</t>
  </si>
  <si>
    <t>Prosentanse keterlibatan masyarakat dalam musrenbang Desa</t>
  </si>
  <si>
    <t>Program peningkatan partisipasi masyarakat dalam pembangunan desa</t>
  </si>
  <si>
    <t>OTDA</t>
  </si>
  <si>
    <t>Seluruh Kecamatan</t>
  </si>
  <si>
    <t>Prosentanse keterlibatan masyarakat dalam musrenbang Kecamatan</t>
  </si>
  <si>
    <t>Jumlah organisasi pemuda/masyarakat aktif dalam pembangunan  per desa</t>
  </si>
  <si>
    <t>100LPM</t>
  </si>
  <si>
    <t>Meningkatkan peran masyarakat dalam memelihara fasilitas umum (fasum)</t>
  </si>
  <si>
    <t>Prosentase fasum terpelihara dengan baik per desa</t>
  </si>
  <si>
    <t>Program peningkatan sarana dan prasarana Pemdes</t>
  </si>
  <si>
    <t>Adanya sosialisasi tentang pemberdayaan masyarakat</t>
  </si>
  <si>
    <t>100 Kader</t>
  </si>
  <si>
    <t>3.4.2</t>
  </si>
  <si>
    <t>Meningkatkan Kesetaraan Gender, Pemberdayaan Perempuan dan Perlindungan Anak</t>
  </si>
  <si>
    <t>Menghilangkan Ketimpangan Gender, Pemberdayaan Perempuan dan Perlindungan Anak dikalangan Masyarakat</t>
  </si>
  <si>
    <t>Meningkatkan Kesetaraan Gender, Pemberdayaan Perempuan dan Perlindungan Anak Secara Merata</t>
  </si>
  <si>
    <t>Rasio Anak Anak Perempuan Terhadap Anak Laki-laki di Tingkat</t>
  </si>
  <si>
    <t>Program penguatan kelembaggaan pengarusutamaan Gender dan Anak</t>
  </si>
  <si>
    <t>Pemberdayaan Perempuan dan Perlindungan Anak</t>
  </si>
  <si>
    <t>- Pendidikan Dasar</t>
  </si>
  <si>
    <t>Kantor PP- PA</t>
  </si>
  <si>
    <t>- Pendidikan Menengah</t>
  </si>
  <si>
    <t>- Pendidikan Lanjut</t>
  </si>
  <si>
    <t>Adanya Kelembagaan PUG</t>
  </si>
  <si>
    <t>Adanya Penguatan Kelembagaan PUG</t>
  </si>
  <si>
    <t>Tingkat Partisipasi Angkatan Kerja (TPAK) Perempuan</t>
  </si>
  <si>
    <t>60,29%</t>
  </si>
  <si>
    <t>Program Peningkatan Peran Serta dan Kesetaraan Gender dalam pembangunan</t>
  </si>
  <si>
    <t>Tingkat Pengangguran Terbuka (TPT) Perempuan</t>
  </si>
  <si>
    <t>1,95%</t>
  </si>
  <si>
    <t>1,65%</t>
  </si>
  <si>
    <t>Program Keserasian kebijakan peningkatan kualitas anak dan perempuan</t>
  </si>
  <si>
    <t>Ratio KDRT</t>
  </si>
  <si>
    <t>Presentase Pekerjaan dibawah Umur</t>
  </si>
  <si>
    <t>Proporsi Perempuan di lembaga swasta</t>
  </si>
  <si>
    <t>Jumlah organisasi wanita aktif</t>
  </si>
  <si>
    <t>7 organisasi</t>
  </si>
  <si>
    <t>13 organisasi</t>
  </si>
  <si>
    <t>Cakupan Perempuan dan anak korban kekerasan yang mendapatkan penanganan Pengaduan Oleh</t>
  </si>
  <si>
    <t>Program peningkatan kualitas hidup dan Perlindungan Perempuan</t>
  </si>
  <si>
    <t>cakupan perempuan dan anak korban kekerasan yang mendapatkan layanan bantuan hukum</t>
  </si>
  <si>
    <t>3.5.1</t>
  </si>
  <si>
    <t xml:space="preserve">Tercapainya  perencanaan dan pengendalian pembangunan daerah yang parsipatif,aspiratif  dan berkualitas </t>
  </si>
  <si>
    <t xml:space="preserve">Memperkuat   sistem perencanaan dan pengendalian pembangunan daerah </t>
  </si>
  <si>
    <t>Meningkatkan Koordinasi  para pelaku pembangunan</t>
  </si>
  <si>
    <t>Tersedianya review dokumen perencanaan RPJPD yg telah ditetapkan dgn PERDA</t>
  </si>
  <si>
    <t>1 dokumen</t>
  </si>
  <si>
    <t>Program Perencanaan Pembangunan Daerah</t>
  </si>
  <si>
    <t>Perencanaan Pembangunan</t>
  </si>
  <si>
    <t>BAPPEDA</t>
  </si>
  <si>
    <t>Tersedianya Dokumen Perencanaan RPJMD yg telah ditetapkan dgn PERDA</t>
  </si>
  <si>
    <t>2 dokumen</t>
  </si>
  <si>
    <t>Program Perencanaan Tata Ruang</t>
  </si>
  <si>
    <t>Penataan Ruang</t>
  </si>
  <si>
    <t>Terlaksananya dan terfasilitasinya Musrenbang  RPJMD</t>
  </si>
  <si>
    <t>Program  Perencanaan Prasarana Wilayah dan Sumber daya alam</t>
  </si>
  <si>
    <t>Terlaksananya dan terfasilitasinya Musrenbang RKPD</t>
  </si>
  <si>
    <t>Program Perencanaan Pengembangan Wilayah Strategis dan cepat Tumbuh</t>
  </si>
  <si>
    <t>Tersedianya Dokumen Perencanaan RKPD yg telah ditetapkan dgn PERBUP</t>
  </si>
  <si>
    <t>Tersedianya dokumen perencanaan dibidang</t>
  </si>
  <si>
    <t>Infrastruktur</t>
  </si>
  <si>
    <t>Perekonomian</t>
  </si>
  <si>
    <t>Sosial Budaya</t>
  </si>
  <si>
    <t>Regulasi tentang perencanaan pembangunan daerah yang telah ditetapkan dengan PERDA dan/atau PERKADA</t>
  </si>
  <si>
    <t>- PERDA, 4 PERKADA</t>
  </si>
  <si>
    <t>16 PERDA, 16 PERKADA</t>
  </si>
  <si>
    <t>Program penataan peraturan perundang undangan</t>
  </si>
  <si>
    <t>Hukum SETDA</t>
  </si>
  <si>
    <t>Tersedianya dokumen review RTRW yang telah ditetapkan dengan PERDA</t>
  </si>
  <si>
    <t>Program Perencanaan Sosial dan Budaya</t>
  </si>
  <si>
    <t>Prosentase sinkronisasi program  daerah dan pusat</t>
  </si>
  <si>
    <t>Terlakasananya koordinasi  perencanaan pembangunan</t>
  </si>
  <si>
    <t>Peningkatan kompetensi dan profesionalitas SDM perencana</t>
  </si>
  <si>
    <t>Jumlah SDM perencana</t>
  </si>
  <si>
    <t>14 orang</t>
  </si>
  <si>
    <t>Program Perencanaan Pembangunan Ekonomi</t>
  </si>
  <si>
    <t>Jumlah Pelatihan tentang  Perencanaan</t>
  </si>
  <si>
    <t>10 orang</t>
  </si>
  <si>
    <t xml:space="preserve">Penelitian dan pengembangan perencanaan pembangunan daerah </t>
  </si>
  <si>
    <t>Jumlah dokumen hasil penelitian dan pengembangan perencanaan pembangunan daerah</t>
  </si>
  <si>
    <t>Program Perencanaan Pengembangan Kota-kota menengah dan besar</t>
  </si>
  <si>
    <t xml:space="preserve">Pengembangan metode pengumpulan data dan informasi pembangunan </t>
  </si>
  <si>
    <t>Ketersediaan database informasi pembangunan</t>
  </si>
  <si>
    <t>Pemantauan, evaluasi kinerja pelaksanaan rencana pembangunan</t>
  </si>
  <si>
    <t>Penjabaran kebijakan RPJPD tiap periode kedalam RPJMD</t>
  </si>
  <si>
    <t>Penjabaran Program RPJMD kedalam RKPD</t>
  </si>
  <si>
    <t>Prosentase cakupan program RPJMD kedalam RKPD</t>
  </si>
  <si>
    <t>Program Pemanfaatan Ruang</t>
  </si>
  <si>
    <t xml:space="preserve">Penjabaran Program RKPD kedalam APBD </t>
  </si>
  <si>
    <t>Prosentase cakupan program RKPD kedalam APBD</t>
  </si>
  <si>
    <t>Program Pengembangan data/informasi /statistik Daerah</t>
  </si>
  <si>
    <t>Statistik</t>
  </si>
  <si>
    <t>Prosentase Pencapaian Target RPJMD</t>
  </si>
  <si>
    <t>Adanya dokumen hasil evaluasi RKPD</t>
  </si>
  <si>
    <t>1 laporan</t>
  </si>
  <si>
    <t>4 dokumen</t>
  </si>
  <si>
    <t>Program Penelitian dan Pengembangan</t>
  </si>
  <si>
    <t>3.5.2</t>
  </si>
  <si>
    <t>Meningkatakan kualitas sistem kelembagaan dan ketatalaksanaan pemerintah daerah</t>
  </si>
  <si>
    <t>Peningkatan efektifitas, efisiensi dan transparansi  pengelolaan  internal SKPD/unit kerja</t>
  </si>
  <si>
    <t>Meningkatkan kualitas pengelolaan kegiatan  internal SKPD/unit kerja yang menyangkut administrasi, kinerja, SDM, sarana prasarana dan keuangan</t>
  </si>
  <si>
    <t>Tingkat pemenuhan layanan administrasi perkantoran</t>
  </si>
  <si>
    <t>Program Pelayanan Administrasi Perkantoran</t>
  </si>
  <si>
    <t>Belanja Langsung Non Urusan</t>
  </si>
  <si>
    <t>Seluruh SKPD</t>
  </si>
  <si>
    <t>Prosentase sarana dan prasarana aparatur dalam kondisi baik</t>
  </si>
  <si>
    <t>Program peningkatan sarana dan prasarana aparatur</t>
  </si>
  <si>
    <t>Tingakat penyampaian laporan kinerja dan keuangan SKPD tepat waktu</t>
  </si>
  <si>
    <t xml:space="preserve">Program peningkatan pengembangan sistem pelaporan capaian kinerja dan keuangan </t>
  </si>
  <si>
    <t>Meningkatnya kualitas sumber daya aparatur</t>
  </si>
  <si>
    <t>Pengelolaan manajemen kepegawaian yang mengacu pada kebutuhan pelayanan prima</t>
  </si>
  <si>
    <t>Menyediakan regulasi bagi pengembangan manajemen kepegawaian dan pengembangan pola karir</t>
  </si>
  <si>
    <t>Tingkat kedisiplinan Aparatur</t>
  </si>
  <si>
    <t>Program Peningkatan Displin aparatur</t>
  </si>
  <si>
    <t>Peningkatan kapasitas SDM aparatur</t>
  </si>
  <si>
    <t>Mengefektifkan penyelenggaraan diklat, bimbingan teknis dan pengiriman tugas belajar</t>
  </si>
  <si>
    <t>Prosentase peningkatan kapasitas sumber daya aparatur</t>
  </si>
  <si>
    <t>Program peningkatan kapasitas sumberdaya aparatur</t>
  </si>
  <si>
    <t xml:space="preserve">Prosentase rata - rata capaian kegiatan  disetiap SKPD </t>
  </si>
  <si>
    <t>Program Peningkatan Kapasitas Sumber Daya Aparatur</t>
  </si>
  <si>
    <t xml:space="preserve">Tingkat ketersediaan data yang akurat dan up to date. </t>
  </si>
  <si>
    <t>Program Peningkatan Kapasitas Kelembagaan Perencanaan Pembangunan Daerah</t>
  </si>
  <si>
    <t>Tingkat efisiensi kegiatan SKPD dari segi pendanaan</t>
  </si>
  <si>
    <t xml:space="preserve"> DPPKAD</t>
  </si>
  <si>
    <t>Menerapkan  kepastian hukum dalam penyelenggaraan pemerintahan yang baik</t>
  </si>
  <si>
    <t>Mengoptimalkan pengkajian produk hukum daerah dan data hukum</t>
  </si>
  <si>
    <t>Prosentase Raperda yang ditetapkan</t>
  </si>
  <si>
    <t>Sosialisasi  produk hukum daerah kepada masyarakat</t>
  </si>
  <si>
    <t>Frekuensi sosialisasi perda</t>
  </si>
  <si>
    <t>5 Kali</t>
  </si>
  <si>
    <t>Prosentase perda yang dilanggar</t>
  </si>
  <si>
    <t>0,5 %</t>
  </si>
  <si>
    <t>0,2 %</t>
  </si>
  <si>
    <t>Media Sosialisasi perda</t>
  </si>
  <si>
    <t>3 Media</t>
  </si>
  <si>
    <t xml:space="preserve">Pengefektifan sistem pengawasan dan pengendalian internal </t>
  </si>
  <si>
    <t>Meningkatkan  pembinaan dalam rangka pengendalian internal</t>
  </si>
  <si>
    <t>Temuan Auditor yang ditindak lanjuti</t>
  </si>
  <si>
    <t>Program Peningkatan wawasan internal dan pengendalian pelaksanaan kebijakan KDH</t>
  </si>
  <si>
    <t>Inspektorat</t>
  </si>
  <si>
    <t>Prosentase belanja untuk pengadaan barang/jasa yang dilelang secara LPSE</t>
  </si>
  <si>
    <t>Mengoptimalkan pelayanan kedinasan KDH WKDH serta anggota DPRD</t>
  </si>
  <si>
    <t>Mengoptimalkan fungsi kesekretariatan DPRD</t>
  </si>
  <si>
    <t>Pembahasan rancangan peraturan daerah</t>
  </si>
  <si>
    <t>Sekretariat DPRD</t>
  </si>
  <si>
    <t>Hearing/ dialog dan koordinasi dengan pejabat pemerintah daerah dan tokoh masyarakat/ tokoh agama</t>
  </si>
  <si>
    <t>Rapat-rapat alat kelengkapan dewan</t>
  </si>
  <si>
    <t>Rapat-rapat paripurna</t>
  </si>
  <si>
    <t>Kegiatan Reses</t>
  </si>
  <si>
    <t>Kunjungan kerja pimpinan dan anggota DPRD dalam daerah</t>
  </si>
  <si>
    <t>Peningkatan kapasitas pimpinan dan anggota DPRD</t>
  </si>
  <si>
    <t>3.5.3</t>
  </si>
  <si>
    <t>Meningkatkan pelayanan administrasi umum, kerumahtanggaan dan ke protokolan pemerintah daerah</t>
  </si>
  <si>
    <t>Meningkatkan pelayanan administrasi umum, kerumahtanggan, dan keprotokolan pemerintah daerah</t>
  </si>
  <si>
    <t>Persentase pelayanan KDH dan WKDH</t>
  </si>
  <si>
    <t>Program Peningkatan pelayanan kedinasan kepala daearah/ wakil kepala daerah</t>
  </si>
  <si>
    <t>UMUM SETDA</t>
  </si>
  <si>
    <t xml:space="preserve">Tingkat pelaksanaan keprotokolan </t>
  </si>
  <si>
    <t>Humas SETDA</t>
  </si>
  <si>
    <t>Peningkatan pengelolaan dokumen/arsip daerah</t>
  </si>
  <si>
    <t>Mengoptimalkan penyelamatan dan pelestarian dokumen/arsip daerah</t>
  </si>
  <si>
    <t>Adanya Penerapan Sistem Pengelolaan arsip secara Baku</t>
  </si>
  <si>
    <t>30 Berkas</t>
  </si>
  <si>
    <t>40 Berkas</t>
  </si>
  <si>
    <t>Program perbaikan sistem administrasi kearsipan</t>
  </si>
  <si>
    <t>Kearsipan</t>
  </si>
  <si>
    <t>Kantor Perpustakaan dan Arsip</t>
  </si>
  <si>
    <t>Terwujudyan Pengelolaan arsip yang berbasis Teknologi dilihat dari Jumlah data (arsip) yang terinput dalam Data base</t>
  </si>
  <si>
    <t>Program peningkatan kualitas pelayanan informasi</t>
  </si>
  <si>
    <t>Program penyelamatan dan pelestarian dokumen/arsip daerah</t>
  </si>
  <si>
    <t>Meningktnay minat dan budaya gemar membaca masyarakat dan layanan perpustakaan</t>
  </si>
  <si>
    <t>Revitalisasi Perpustakaan</t>
  </si>
  <si>
    <t>Meningkatnya promosi gemar membaca dan pemanfaatan perpustakaan</t>
  </si>
  <si>
    <t>Jumlah pengujung perpustakaan</t>
  </si>
  <si>
    <t>6.000 pengunjung</t>
  </si>
  <si>
    <t>274.435 pengunjung</t>
  </si>
  <si>
    <t>Program pengembangan budaya baca perpustakaan</t>
  </si>
  <si>
    <t>Perpustakaan</t>
  </si>
  <si>
    <t>3.5.4</t>
  </si>
  <si>
    <t>pengelolaan manajemen kepegawaian yang mengacu pada kebutuhan pelayanan prima</t>
  </si>
  <si>
    <t>Meningkatnya pelayanan adm. Kepegawaian yang transparan, cepat, tepat dan akuntabel</t>
  </si>
  <si>
    <t xml:space="preserve">Rasio PNSD golongan III dan golongan II </t>
  </si>
  <si>
    <t>Program Pembinaan dan Pengembangan Aparatur</t>
  </si>
  <si>
    <t xml:space="preserve">Otonomi Daerah, Pemerintahan Umum, Administrasi Keuangan Daerah, Perangkat Daerah, Kepegawaian, dan Persandian </t>
  </si>
  <si>
    <t>BKD</t>
  </si>
  <si>
    <t>Persentase pemenuhan kebutuhan jumlah PNSD</t>
  </si>
  <si>
    <t>57,5%</t>
  </si>
  <si>
    <t>menyediakan regulasi bagi pengembangan manajemen kepegawaian dan pengembangan pola karir</t>
  </si>
  <si>
    <t xml:space="preserve">Jumlah PNS prestasi yang diberikan reward/ penghargaan </t>
  </si>
  <si>
    <t>Penjatuhan hukuman disiplin ringan, sedang, dan berat bagi PNSD</t>
  </si>
  <si>
    <t xml:space="preserve">Persentase jabatan Esselon yang terisi berdasarkan sistem karir dan prestasi kerja </t>
  </si>
  <si>
    <t>55,5%</t>
  </si>
  <si>
    <t>Persentase Pejabat Esselon yang memenuhi persyaratan diklat PIM</t>
  </si>
  <si>
    <t>Program Pendidikan Kedinasan</t>
  </si>
  <si>
    <t>Jumlah PNS yang telah mengikuti tugas belajar</t>
  </si>
  <si>
    <t>279 orang</t>
  </si>
  <si>
    <t>Jumlah CPNS yang mengikuti Prajabatan sebagai syarat diangkat menjadi PNSD</t>
  </si>
  <si>
    <t>997 orang</t>
  </si>
  <si>
    <t>3303 orang</t>
  </si>
  <si>
    <t xml:space="preserve">Meningkatkan nasionalisme aparatur </t>
  </si>
  <si>
    <t xml:space="preserve">jumlah anggota KORPRI yang mengikuti                         PORKAB                                                                                 </t>
  </si>
  <si>
    <t>KORPRI</t>
  </si>
  <si>
    <t>jumlah anggota KORPRI yang mengikuti                                   - PORPROV</t>
  </si>
  <si>
    <t>Jumlah senam sehat yang dilaksanakan per tahun</t>
  </si>
  <si>
    <t>22 Kali</t>
  </si>
  <si>
    <t>Program Pembinaan Jiwa Korsa Korpri</t>
  </si>
  <si>
    <t>jumlah PNS yang mengikuti pengucapan UUD 1945 dan panca praseyta KORPRI</t>
  </si>
  <si>
    <t xml:space="preserve">Meningkatkan jiwa enterpreneurship  SDM aparatur </t>
  </si>
  <si>
    <t>Jumlah Calon Pensiunan yang dilatih berwirausaha</t>
  </si>
  <si>
    <t>Adanya program-program motivasi bagi SDM aparatur</t>
  </si>
  <si>
    <t xml:space="preserve">Adanya pelatihan ketrampilam bagi aparatur menjelang pensiun </t>
  </si>
  <si>
    <t>Jumlah usaha peningkatan kesejahteraan PNS</t>
  </si>
  <si>
    <t>6 usaha</t>
  </si>
  <si>
    <t>3.5.5</t>
  </si>
  <si>
    <t>Meningkatnya kualitas pengelolaan keuangan daerah</t>
  </si>
  <si>
    <t>Peningkatan efektifitas dan efisiensi belanja daerah</t>
  </si>
  <si>
    <t>Melaksanakan perencanaan penganggaran belanja berbasis kinerja</t>
  </si>
  <si>
    <t>Rasio anggaran untuk belanja aparatur terhadap belanja publik</t>
  </si>
  <si>
    <t xml:space="preserve">Jumlah kegiatan prioritas  yang teranggarkan </t>
  </si>
  <si>
    <t>53  kegiatan</t>
  </si>
  <si>
    <t>75 kegiatan</t>
  </si>
  <si>
    <t xml:space="preserve">Rasio penyerapan anggaran per tahun </t>
  </si>
  <si>
    <t>Penyusunan Perda APBD tepat Waktu</t>
  </si>
  <si>
    <t>Opini Laporan Keuangan Daerah</t>
  </si>
  <si>
    <t>WDP</t>
  </si>
  <si>
    <t>WTP</t>
  </si>
  <si>
    <t>Meningkatkan koordinasi dengan pemerintah pusat dan provinsi dalam rangka meningkatkan pendapatan daerah</t>
  </si>
  <si>
    <t>Regulasi tentang pengelolaan keuangan daerah</t>
  </si>
  <si>
    <t>ADA</t>
  </si>
  <si>
    <t>Peningkatan pendapatan daerah</t>
  </si>
  <si>
    <t>Melaksanakan intensifikasi pendapatan asli daerah</t>
  </si>
  <si>
    <t>Target  Pendapatan Asli Daerah</t>
  </si>
  <si>
    <t>Rp 24230517887.4</t>
  </si>
  <si>
    <t>Rp 24000000000</t>
  </si>
  <si>
    <t>Meningkatkan kualitas kebijakan pengembangan pendapatan daerah</t>
  </si>
  <si>
    <t>Adanya program ektensifikasi untuk peningkatan PAD</t>
  </si>
  <si>
    <t>Mengoptimalkan pemanfaatan aset daerah</t>
  </si>
  <si>
    <t xml:space="preserve">Adanya database aset daerah </t>
  </si>
  <si>
    <t>Belum ada</t>
  </si>
  <si>
    <t>ada</t>
  </si>
  <si>
    <t xml:space="preserve">Adanya Pengelolaan Aset </t>
  </si>
  <si>
    <t>3.6.1</t>
  </si>
  <si>
    <t>Meningkatnya pelayanan administrasi kependudukan</t>
  </si>
  <si>
    <t>Peningkatan kualitas pelayanan administrasi kependudukan</t>
  </si>
  <si>
    <t xml:space="preserve">Menerapkan pelayanan prima pada  pelayanan administrasi kependudukan dan pencatatan sipil </t>
  </si>
  <si>
    <t>Jumlah pengurusan  administrasi  terlayani per hari</t>
  </si>
  <si>
    <t>25 berkas</t>
  </si>
  <si>
    <t>50 berkas</t>
  </si>
  <si>
    <t>Program Penataan Administrasi Kependudukan</t>
  </si>
  <si>
    <t>Kependudukan dan Catatan Sipil</t>
  </si>
  <si>
    <t>Disdukcapil</t>
  </si>
  <si>
    <t>Cakupan penerbitan KTP (SPM)</t>
  </si>
  <si>
    <t>53.67%</t>
  </si>
  <si>
    <t>51.42%</t>
  </si>
  <si>
    <t>Cakupan akte kelahiran (SPM)</t>
  </si>
  <si>
    <t>10.50%</t>
  </si>
  <si>
    <t>26.66%</t>
  </si>
  <si>
    <t xml:space="preserve">Cakupan penerbitan akte nikah </t>
  </si>
  <si>
    <t>0 akte</t>
  </si>
  <si>
    <t>50 akte</t>
  </si>
  <si>
    <t xml:space="preserve">Ketersediaan data base kependudukan per kecamatan </t>
  </si>
  <si>
    <t>12 jenis</t>
  </si>
  <si>
    <t>12  jenis</t>
  </si>
  <si>
    <t>Meningkatkan fasilitasi  layanan dibidang pertanahan</t>
  </si>
  <si>
    <t>Fasilitasi layanan dibidang pertanahan</t>
  </si>
  <si>
    <t>Prosentase lahan yang bersertifikat</t>
  </si>
  <si>
    <t>Belum ada data</t>
  </si>
  <si>
    <t>Program penataan penguasaaan, pemilikan, penggunaan dan pemanfaatan tanah</t>
  </si>
  <si>
    <t>TAPEM SETDA</t>
  </si>
  <si>
    <t>Prosentase penyelesaian kasus sengketa tanah</t>
  </si>
  <si>
    <t>Program Penataan daerah otonom baru</t>
  </si>
  <si>
    <t>Meningkatkan layanan pengaduan masyarakat</t>
  </si>
  <si>
    <t>Peningkatan kapasitas daerah dalam penanganan pengaduan masyarakat</t>
  </si>
  <si>
    <t>Prosentase pengaduan masyarakat yang ditangani</t>
  </si>
  <si>
    <t>Program penyelesaian konflik-konflik pertanahan</t>
  </si>
  <si>
    <t>Prosentase pengaduan masyarakat yang tertuntaskan</t>
  </si>
  <si>
    <t xml:space="preserve">Peningkatan kesigapan pemerintah daerah dalam penanganan bencana kebakaran </t>
  </si>
  <si>
    <t>Cakupan pelayanan bencana kebakaran (SPM)</t>
  </si>
  <si>
    <t>Program pencegahan dini  dan penanggulangan bencana alam</t>
  </si>
  <si>
    <t>BPBD</t>
  </si>
  <si>
    <t>Tingkat waktu tanggap (response time rate) daerah layanan wilayah manajemen kebakaran (SPM)</t>
  </si>
  <si>
    <t>Program kesiagaan bencana</t>
  </si>
  <si>
    <t xml:space="preserve">Adanya sosialisasi pencegahan bahaya </t>
  </si>
  <si>
    <t>-  kebakaran</t>
  </si>
  <si>
    <t>1 kali pelatihan</t>
  </si>
  <si>
    <t>10 kali pelatihan di setiap kecamatan/ 10 spanduk di setiap kecamatan</t>
  </si>
  <si>
    <t>Program peningkatan kesiapsiagaan dan pencegahan bahaya kebakaran</t>
  </si>
  <si>
    <t>- banjir</t>
  </si>
  <si>
    <t>- tanah longsor</t>
  </si>
  <si>
    <t xml:space="preserve">Adanya sosialisasi penanganan                        </t>
  </si>
  <si>
    <t xml:space="preserve">Rekruitmen tenaga sukarela  pertolongan bencana </t>
  </si>
  <si>
    <t>300 orang</t>
  </si>
  <si>
    <t>Program penanganan bencana dan kejadian luar biasa</t>
  </si>
  <si>
    <t>Penyediaan dan pemeliharaan sarana prasarana penanggulangan bencana</t>
  </si>
  <si>
    <t>5 mobil Damkar, 5 gas pemadam kebakaran</t>
  </si>
  <si>
    <t>10 mobil Damkar, 10 gas pemadam kebakaran, 3 Masker oksigen</t>
  </si>
  <si>
    <t>Program mobilisasi korban bencana</t>
  </si>
  <si>
    <t>3.6.2</t>
  </si>
  <si>
    <t>Meningkatnya pelayanan sosial kemasyarakatan</t>
  </si>
  <si>
    <t>Peningkatan layanan sosial kemasyarakatan</t>
  </si>
  <si>
    <t xml:space="preserve">Meningkatkan kesejahteraan sosial melalui pelayanan sosial kemasyarakatan </t>
  </si>
  <si>
    <t>Persentase PMKS yang memperoleh bantuan sosial pemenuhan kebutuhan dasar (SPM).</t>
  </si>
  <si>
    <t>Program Pemberdayaan Fakir Miskin, Komunitas Adat terpencil ( KAT ) dan Penyandang Masalah kesejahteraan Sosial ( PMKS ) Lainnya</t>
  </si>
  <si>
    <t>sosial</t>
  </si>
  <si>
    <t>Persentase PMKS yang meneria program pemberdayaan sosial melalui Kelompok Usaha Bersama (KUBE) atau kelompok sosial ekonomi lainnya (SPM)</t>
  </si>
  <si>
    <t>Program Pemberdayaan Kelembagaan Kesejahteraan Sosial</t>
  </si>
  <si>
    <t>Prosentase panti sosial yang menyediakan sarana prasarana pelayanan kesejahteraan sosial (SPM)</t>
  </si>
  <si>
    <t>Program Pelayanan dan Rehabilitasi Kesejahteraan Sosial</t>
  </si>
  <si>
    <t>Prosentase wahana kesejahteraan sosial berbasis masyarakat (WKBSM) yang menyediakan sarana prasarana pelayanan kesejahteraan sosial</t>
  </si>
  <si>
    <t>Prosentase korban bencana yang menerima bantuan sosial selama masa tanggap darurat</t>
  </si>
  <si>
    <t>Prosentase korban bencana yang dievakuasi dengan menggunakan sarana prasarana tanggap darurat lengkap</t>
  </si>
  <si>
    <t>Prosentase penyandang cacat fisik dan mental serta lanjut usia tidakpotensial yang telah menerima jaminan sosial</t>
  </si>
  <si>
    <t>Program Pembinaan para penyandang cacat dan trauma</t>
  </si>
  <si>
    <t>Peningkatan layanan masyarakat berbasis wilayah kecamatan</t>
  </si>
  <si>
    <t>Tingkat layanan masyarakat berbasis wilayah kecamatan</t>
  </si>
  <si>
    <t>12 kali</t>
  </si>
  <si>
    <t>Program peningkatan pelayanan kedinasan kepala daerah/wakil kepala daerah</t>
  </si>
  <si>
    <t>Kec.Pasemah Air Keruh</t>
  </si>
  <si>
    <t>44 kali</t>
  </si>
  <si>
    <t>45 kali</t>
  </si>
  <si>
    <t>Kec. Muara Pinang</t>
  </si>
  <si>
    <t>32 kali</t>
  </si>
  <si>
    <t>Kec. Lintang Kanan</t>
  </si>
  <si>
    <t>38 kali</t>
  </si>
  <si>
    <t>Kec. Pendopo</t>
  </si>
  <si>
    <t>28 kali</t>
  </si>
  <si>
    <t>Kec. Ulu Musi</t>
  </si>
  <si>
    <t>26 Kali</t>
  </si>
  <si>
    <t>Kec. Talang Padang</t>
  </si>
  <si>
    <t>Kec. Tebing Tinggi</t>
  </si>
  <si>
    <t>22 kali</t>
  </si>
  <si>
    <t>Kec.Sikap Dalam</t>
  </si>
  <si>
    <t>20 kali</t>
  </si>
  <si>
    <t>Kec.Pendopo Barat</t>
  </si>
  <si>
    <t>20 Kali</t>
  </si>
  <si>
    <t>Kec.Saling</t>
  </si>
  <si>
    <t>3.6.3</t>
  </si>
  <si>
    <t xml:space="preserve">Terwujudnya pembangunan pemukiman baru yang mampu tumbuh kembang secara mandiri dan berkelanjutan </t>
  </si>
  <si>
    <t xml:space="preserve">meningkatkan pembangunan sarana dan prasarana serta sosial ekonomi Masyarakat Transmigrasi </t>
  </si>
  <si>
    <t>Meningkatnya pendapatan dan kesejahteraan bagi warga transmigrasi</t>
  </si>
  <si>
    <t xml:space="preserve">Meningkatnya persentase sarana dan prasarana serta sosial ekonomi Masyarakat Transmigrasi </t>
  </si>
  <si>
    <t>Program Pengembangan Wilayah Transmigrasi</t>
  </si>
  <si>
    <t>Transmigrasi</t>
  </si>
  <si>
    <t>IV</t>
  </si>
  <si>
    <t>MISI IV: MENINGKATKAN KEAMANAN DAERAH</t>
  </si>
  <si>
    <t>4.1.1</t>
  </si>
  <si>
    <t xml:space="preserve">Terwujudnya keamanan dilingkungan masyarakat </t>
  </si>
  <si>
    <t>Meningkatkan partisipasi masyarakat dalam menjaga keamanan,ketentraman dan ketertiban  daerah</t>
  </si>
  <si>
    <t xml:space="preserve">Peningkatan kualitas kerjasama dengan pihak terkait dalam peningkatan kemanan dan ketertiban lingkungan  </t>
  </si>
  <si>
    <t>Tingkat pelanggaran K3 per tahun</t>
  </si>
  <si>
    <t>POL PP</t>
  </si>
  <si>
    <t>Tingkat terjadinya PEKAT</t>
  </si>
  <si>
    <t>Tingkat konflik keagamaan</t>
  </si>
  <si>
    <t>Jumlah pos keamanan/pos siskampling   di setiap desa</t>
  </si>
  <si>
    <t>15 Pos</t>
  </si>
  <si>
    <t>Program Pemeliharaan Kantrantibmas dan pencegahan tindak kriminal</t>
  </si>
  <si>
    <t>11 Pos</t>
  </si>
  <si>
    <t>16 Pos</t>
  </si>
  <si>
    <t>9 Pos</t>
  </si>
  <si>
    <t>14 Pos</t>
  </si>
  <si>
    <t>13 Pos</t>
  </si>
  <si>
    <t>26 Pos</t>
  </si>
  <si>
    <t>6 Pos</t>
  </si>
  <si>
    <t>5 Pos</t>
  </si>
  <si>
    <t>10 Pos</t>
  </si>
  <si>
    <t>Meningkatnya fungsi aparat dalam menjaga keamanan</t>
  </si>
  <si>
    <t>Meningkatkan profesionalisme aparat dalam menjalankan fungsinya</t>
  </si>
  <si>
    <t xml:space="preserve">Jumlah aparat  alpa /tidak masuk kerja per bulan </t>
  </si>
  <si>
    <t>Program Efektivitas dan Penegakan Peraturan Daerah.</t>
  </si>
  <si>
    <t>Bidang Tata Usaha</t>
  </si>
  <si>
    <t>POLPP</t>
  </si>
  <si>
    <t>Tingkat penanggulangan terhadap aksi premanisme</t>
  </si>
  <si>
    <t>Program Pengendalian Keamanan Lingkungan.</t>
  </si>
  <si>
    <t>Bidang Ketertiban Umum dan Ketentraman Masyarakat.</t>
  </si>
  <si>
    <t>Tingkat penyelesaian pelanggaran K3  di Kabupaten (SPM)</t>
  </si>
  <si>
    <t>Bidang penegakan perundang-undangan dan daerah.</t>
  </si>
  <si>
    <t xml:space="preserve">Tingkat penanggulangan terhadap PEKAT </t>
  </si>
  <si>
    <t>Tingkat responsif penanggulangan bencana</t>
  </si>
  <si>
    <t>Membagi  wilayah kerja aparat secara merata</t>
  </si>
  <si>
    <t>Cakupan petugas perlindungan masyarakat (linmas) di kabupaten (SPM)</t>
  </si>
  <si>
    <t>2 Org/TPS</t>
  </si>
  <si>
    <t>Bidang Perlindungan Masyarakat.</t>
  </si>
  <si>
    <t>Rasio polisi pamong praja per 10.000 penduduk</t>
  </si>
  <si>
    <t>Meningkatkan sarana prasarana pendukung keamanan</t>
  </si>
  <si>
    <t xml:space="preserve">Meningkatkan sarana prasana keamanan yang memadai </t>
  </si>
  <si>
    <t xml:space="preserve">Jumlah pos jaga di setiap kecamatan </t>
  </si>
  <si>
    <t>0</t>
  </si>
  <si>
    <t>50 Pos</t>
  </si>
  <si>
    <t>Bidang Sarana- Prasarana</t>
  </si>
  <si>
    <t xml:space="preserve">Jumlah pos jaga di daerah rawan kejahatan </t>
  </si>
  <si>
    <t>8 Pos</t>
  </si>
  <si>
    <t>20 Pos</t>
  </si>
  <si>
    <t>4.1.2</t>
  </si>
  <si>
    <t>Terbinanya wawasan kebangsaan masyarakat</t>
  </si>
  <si>
    <t>Meningkatkan wawasan kebangsaan dan rasa nasionalisme masyarakat</t>
  </si>
  <si>
    <t>Meningkatkan pemahaman wawasan kebangsaan menuju bangsa yang berkarakter</t>
  </si>
  <si>
    <t>Tingkat Pembinaan Terhadap LSM, ORMAS, dan OKP</t>
  </si>
  <si>
    <t>9,09 %</t>
  </si>
  <si>
    <t>Program Kemitraan Pengembangan Wawasan Kebangsaan</t>
  </si>
  <si>
    <t>Kesatuan Bangsa dan Politik Dalam Negeri</t>
  </si>
  <si>
    <t>Kesbangpol</t>
  </si>
  <si>
    <t>Adanya Kegiatan Pembinaan Politik Daerah</t>
  </si>
  <si>
    <t>17 Partai</t>
  </si>
  <si>
    <t>12 Partai</t>
  </si>
  <si>
    <t>Program Pendidikan Politik Masyaraakat</t>
  </si>
  <si>
    <t>Adanya Kegiatan Pembinaan Wawasan Kebangsaan</t>
  </si>
  <si>
    <t>No</t>
  </si>
  <si>
    <t>Misi/ Sasaran/ Indikator Kinerja Pembangunan Daerah</t>
  </si>
  <si>
    <t>Satuan</t>
  </si>
  <si>
    <t>Kondisi Kinerja Pada Awal Periode RPJMD</t>
  </si>
  <si>
    <t xml:space="preserve">Target Capaian Setiap Tahun </t>
  </si>
  <si>
    <t>Kondisi Kinerja Pada Akhir Periode RPJMD (2018)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</si>
  <si>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</si>
  <si>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</si>
  <si>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</si>
  <si>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</si>
  <si>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</si>
  <si>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</si>
  <si>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</si>
  <si>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</si>
  <si>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</si>
  <si>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</si>
  <si>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Tercapainya pemenuhan kebutuhan masyarakat terhadap infrastruktur dasar yang layak</t>
  </si>
  <si>
    <t>unit</t>
  </si>
  <si>
    <t>%</t>
  </si>
  <si>
    <t xml:space="preserve">0,05 </t>
  </si>
  <si>
    <t>0,09</t>
  </si>
  <si>
    <t>0,15</t>
  </si>
  <si>
    <t>0,20</t>
  </si>
  <si>
    <t>0,25</t>
  </si>
  <si>
    <t>0,30</t>
  </si>
  <si>
    <t>KK</t>
  </si>
  <si>
    <t>Ton</t>
  </si>
  <si>
    <t>Terciptanya kelestarian lingkungan hidup dan sumber daya alam</t>
  </si>
  <si>
    <t>Pencegahan Pencemaran Air berupa Persentase jumlah usaha dan/atau kegiatan yang mentaati persyaratan administratif dan teknis pencegahan air</t>
  </si>
  <si>
    <t>Pencegahan Pencemaran Udara dari Sumber Tidak Bergerak berupa Persentasi jumlah usaha dan/atau kegiatan sumber tidak bergerak yang memenuhi persyaratan administratif dan teknis pencegahan udara</t>
  </si>
  <si>
    <t>Penyediaan Informasi Status Kerusakan Lahan dan / atau tanah untuk produksi Biomassa berupa Persentase luasan lahan yang ditetapkan dan diinformasikan status kerusakan lahan dan/atau tanah untuk perusakan lingkungan</t>
  </si>
  <si>
    <t>Tindak Lanjut Pengaduan Masyarakat akibat adanya dugaan Pencemaran dan/atau perusakan Lingkungan Hidup Persentase jumlah pengaduan masyarakat akibat adanya dugaan pencemaran dan/atau perusakan lingkungan hidup yang ditindaklanjuti</t>
  </si>
  <si>
    <t>Adanya Reboisasi dan Penghijauan Hutan</t>
  </si>
  <si>
    <t>Ha</t>
  </si>
  <si>
    <t>Persentase penambangan yang berizin</t>
  </si>
  <si>
    <t>Prosentase tersedianya jalan yang memudahkan individu melakukan perjalanan (SPM)</t>
  </si>
  <si>
    <t xml:space="preserve">Prosentase tersedianya jalan yang menghubungkan pusat kegiatan dalam wilayah kabupaten/kota (SPM) </t>
  </si>
  <si>
    <t>Prosentase jalan yang menjamin kendaraan dapat berjalan dengan selamat dan nyaman (SPM)</t>
  </si>
  <si>
    <t>Prosentase tersedianya jalan yang menjamin perjalanan dapat dilakukan sesuai dengan kecepatan rencana (SPM)</t>
  </si>
  <si>
    <t>Prosentase tersedianya jalan yang menjamin pengguna jalan berkendara dengan selamat (SPM)</t>
  </si>
  <si>
    <t xml:space="preserve"> PU CK &amp; Pengairan</t>
  </si>
  <si>
    <t>CK &amp; Pengairan</t>
  </si>
  <si>
    <t>Orang</t>
  </si>
  <si>
    <t>Kali Razia/tahun</t>
  </si>
  <si>
    <t>Standar keselamatan</t>
  </si>
  <si>
    <t>Unit</t>
  </si>
  <si>
    <t>Web LPSE</t>
  </si>
  <si>
    <t>Media</t>
  </si>
  <si>
    <t>spanduk, baleho/tahun</t>
  </si>
  <si>
    <t>WIM, ICT</t>
  </si>
  <si>
    <t>1 Wim dan 1 ICT</t>
  </si>
  <si>
    <t>Kali</t>
  </si>
  <si>
    <t>Web Site</t>
  </si>
  <si>
    <t>EKOBANG SETDA</t>
  </si>
  <si>
    <t>MISI II  MENINGKATKAN PEREKONOMIAN DAERAH DAN MASYARAKAT</t>
  </si>
  <si>
    <t xml:space="preserve">Prosentase area pertanian produktif/ </t>
  </si>
  <si>
    <t>Kg/Ha/Th</t>
  </si>
  <si>
    <t>Kg/Thn</t>
  </si>
  <si>
    <t>ekor</t>
  </si>
  <si>
    <t xml:space="preserve">Ketersediaan Energi Protein Perkapita </t>
  </si>
  <si>
    <t>gr</t>
  </si>
  <si>
    <t>Stabilitas Harga dan Pasokan Pangan (SPM)</t>
  </si>
  <si>
    <t>Ketersediaan Informasi Pasokan harga dan Akses Pangan di Daerah (SPM)</t>
  </si>
  <si>
    <t>Kkal</t>
  </si>
  <si>
    <t>Penanganan Daerah Rawan Pangan (SPM)</t>
  </si>
  <si>
    <t>Kg</t>
  </si>
  <si>
    <t>batang/Kg/ Unit</t>
  </si>
  <si>
    <t>Enters Kopi 20.000 Batang, Bibit kakao 25.000 Batang, Karet 50 Ha (20.000 batang)</t>
  </si>
  <si>
    <t>Jumlah Sarana Prasarana dibangun</t>
  </si>
  <si>
    <t>Unit/ Km</t>
  </si>
  <si>
    <t>Gudang 4 Unit, Lantai Jemur 4 Unit, Jalan Usaha Tani1 Km</t>
  </si>
  <si>
    <t>Lantai Jemur 10 Unit, Jalan Usaha Tani 2 Km</t>
  </si>
  <si>
    <t>Lantai Jemur 10 Unit, Jalan Usaha Tani 3 Km</t>
  </si>
  <si>
    <t>Lantai Jemur 12 Unit, Jalan Usaha Tani 3 Km</t>
  </si>
  <si>
    <t>Prosentase Pekebunan yang Menerapkan Teknologi (Teknologi Kopi Sambung)</t>
  </si>
  <si>
    <t>kali/bln</t>
  </si>
  <si>
    <t>Desperindag</t>
  </si>
  <si>
    <t>Kelompok</t>
  </si>
  <si>
    <t>Kecamatan</t>
  </si>
  <si>
    <t>Adanya sentra PKL/Asongan</t>
  </si>
  <si>
    <t>Sentra</t>
  </si>
  <si>
    <t>Jumlah UMKM produktif</t>
  </si>
  <si>
    <t>KOP UKM</t>
  </si>
  <si>
    <t>UMKM</t>
  </si>
  <si>
    <t>Jumlah tenaga kerja dalam UMKM</t>
  </si>
  <si>
    <t>Tenaga Kerja</t>
  </si>
  <si>
    <t>Jumlah UMKM yang dibina</t>
  </si>
  <si>
    <t>Pengembangan ekonomi kreatif daerah</t>
  </si>
  <si>
    <t>DISBUDPAR</t>
  </si>
  <si>
    <t>Produksi</t>
  </si>
  <si>
    <t>Disperinda</t>
  </si>
  <si>
    <t>Regulasi</t>
  </si>
  <si>
    <t xml:space="preserve">Prosentase koperasi aktif        - KSU                                    - KSP                                    - Koptan                                 - Lainnya                                                                                                                                                                 </t>
  </si>
  <si>
    <t>Koperasi</t>
  </si>
  <si>
    <t>Jumlah koperasi yang dibina</t>
  </si>
  <si>
    <t>Anggota</t>
  </si>
  <si>
    <t>Intensitas sosialisasi perkoperasian</t>
  </si>
  <si>
    <t>kali</t>
  </si>
  <si>
    <t>2.2.1</t>
  </si>
  <si>
    <t>KPPT &amp; PM</t>
  </si>
  <si>
    <t>Investor</t>
  </si>
  <si>
    <t>Milliar</t>
  </si>
  <si>
    <t>dokumen</t>
  </si>
  <si>
    <t xml:space="preserve"> kali </t>
  </si>
  <si>
    <t>Tingkat pelayanan terhadap IUJK (ijin Usaha Jasa Konstruktsi ) SPM</t>
  </si>
  <si>
    <t>DINSOSNAKERTRANS</t>
  </si>
  <si>
    <t>regulasi</t>
  </si>
  <si>
    <t>Besaran tenaga kerja yang mendapatkan pelatihan berbasis masyarakat</t>
  </si>
  <si>
    <t>Kasus</t>
  </si>
  <si>
    <t>balai latihan kerja</t>
  </si>
  <si>
    <t>objek</t>
  </si>
  <si>
    <t>wisatawan</t>
  </si>
  <si>
    <t xml:space="preserve"> Pelaku Usaha</t>
  </si>
  <si>
    <t>MISI III  MENINGKATKAN KESEJAHTERAAN SOSIAL DAN BUDAYA</t>
  </si>
  <si>
    <t xml:space="preserve">Meningkatnya akses dan kualitas layanan kesehatan </t>
  </si>
  <si>
    <t xml:space="preserve">Prosentase kelengkapan peralatan medis </t>
  </si>
  <si>
    <t xml:space="preserve">Prosentase kelengkapan peralatan non medis </t>
  </si>
  <si>
    <t>Prosentase kelengkapan obat-obatan</t>
  </si>
  <si>
    <t>Cakupan Peserta KB aktif</t>
  </si>
  <si>
    <t>Cakupan pelayanan gawat darurat level 1 yang harus diberikan sarana kesehatan (RS) di kab/kota (SPM)</t>
  </si>
  <si>
    <t>16,24</t>
  </si>
  <si>
    <t>26,87</t>
  </si>
  <si>
    <t>41,50</t>
  </si>
  <si>
    <t>51,5</t>
  </si>
  <si>
    <t>61,5</t>
  </si>
  <si>
    <t>33,33</t>
  </si>
  <si>
    <t>55,55</t>
  </si>
  <si>
    <t>77,77</t>
  </si>
  <si>
    <t>88,88</t>
  </si>
  <si>
    <t>38,46</t>
  </si>
  <si>
    <t>53,84</t>
  </si>
  <si>
    <t>61,53</t>
  </si>
  <si>
    <t>69,23</t>
  </si>
  <si>
    <t>08.00 - 13.00 setiap hari</t>
  </si>
  <si>
    <t>menit</t>
  </si>
  <si>
    <t>60,00</t>
  </si>
  <si>
    <t>50,00</t>
  </si>
  <si>
    <t>40,00</t>
  </si>
  <si>
    <t>30,00</t>
  </si>
  <si>
    <t>20,00</t>
  </si>
  <si>
    <t>10,00</t>
  </si>
  <si>
    <t>Belum Ada</t>
  </si>
  <si>
    <t>31,64</t>
  </si>
  <si>
    <t>56,96</t>
  </si>
  <si>
    <t xml:space="preserve">75,94 </t>
  </si>
  <si>
    <t>3,80</t>
  </si>
  <si>
    <t>2,53</t>
  </si>
  <si>
    <t>12,38</t>
  </si>
  <si>
    <t>28,57</t>
  </si>
  <si>
    <t>47,61</t>
  </si>
  <si>
    <t>66,66</t>
  </si>
  <si>
    <t>88,00</t>
  </si>
  <si>
    <t>99,23</t>
  </si>
  <si>
    <t>70,00</t>
  </si>
  <si>
    <t>80,00</t>
  </si>
  <si>
    <t>Tahun</t>
  </si>
  <si>
    <t>per 1.000 kelahiran hidup</t>
  </si>
  <si>
    <t>per 100.000 kelahiran hidup</t>
  </si>
  <si>
    <t>Meningkatnya kesadaran masyarakat akan pola hidup bersih dan sehat (PHBS)</t>
  </si>
  <si>
    <t>Jumlah sarana Prasarana  olahraga yang memenuhi standar</t>
  </si>
  <si>
    <t>DISPORA</t>
  </si>
  <si>
    <t>sarana prasarana olahraga</t>
  </si>
  <si>
    <t>Jumlah organisasi olahraga yang aktif</t>
  </si>
  <si>
    <t>Organisasi Olahraga</t>
  </si>
  <si>
    <t>Frekuensi event-event olahraga</t>
  </si>
  <si>
    <t>event olahraga</t>
  </si>
  <si>
    <t>9,94</t>
  </si>
  <si>
    <t xml:space="preserve">9,07 </t>
  </si>
  <si>
    <t>8,29</t>
  </si>
  <si>
    <t>7,57</t>
  </si>
  <si>
    <t>8,92</t>
  </si>
  <si>
    <t>6,3</t>
  </si>
  <si>
    <t xml:space="preserve">77,5 </t>
  </si>
  <si>
    <t>78,2</t>
  </si>
  <si>
    <t>79,6</t>
  </si>
  <si>
    <t>81,7</t>
  </si>
  <si>
    <t>81,78</t>
  </si>
  <si>
    <t>22,5</t>
  </si>
  <si>
    <t>20,6</t>
  </si>
  <si>
    <t>18,9</t>
  </si>
  <si>
    <t>17,4</t>
  </si>
  <si>
    <t>15,9</t>
  </si>
  <si>
    <t>14,6</t>
  </si>
  <si>
    <t>86,77</t>
  </si>
  <si>
    <t>86,78</t>
  </si>
  <si>
    <t>86,79</t>
  </si>
  <si>
    <t>86,80</t>
  </si>
  <si>
    <t>75,40</t>
  </si>
  <si>
    <t>77,5</t>
  </si>
  <si>
    <t>79,74</t>
  </si>
  <si>
    <t>82,01</t>
  </si>
  <si>
    <t>84,34</t>
  </si>
  <si>
    <t>86,73</t>
  </si>
  <si>
    <t>Rasio petugas lapangan keluarga berencana /penyuluh keuarga berencana (BLKB/PKB) disetiap desa/keluarahan</t>
  </si>
  <si>
    <t>BLKB/PKB</t>
  </si>
  <si>
    <t>Meningkatnya pendidikan yang berkualitas secara merata</t>
  </si>
  <si>
    <t>pendidikan anak usia dini (PAUD)</t>
  </si>
  <si>
    <t>angka Melek huruf</t>
  </si>
  <si>
    <t>APK SD/SDLB/MI</t>
  </si>
  <si>
    <t>98,61</t>
  </si>
  <si>
    <t>98,65</t>
  </si>
  <si>
    <t>98,69</t>
  </si>
  <si>
    <t>98,73</t>
  </si>
  <si>
    <t>98,77</t>
  </si>
  <si>
    <t>98,80</t>
  </si>
  <si>
    <t>APK SMP/MTS</t>
  </si>
  <si>
    <t>85,20</t>
  </si>
  <si>
    <t>85,26</t>
  </si>
  <si>
    <t>88,25</t>
  </si>
  <si>
    <t>88,60</t>
  </si>
  <si>
    <t>89,50</t>
  </si>
  <si>
    <t>93,50</t>
  </si>
  <si>
    <t>95,25</t>
  </si>
  <si>
    <t>APK SMA/MA</t>
  </si>
  <si>
    <t>97,88</t>
  </si>
  <si>
    <t>98,15</t>
  </si>
  <si>
    <t>98,18</t>
  </si>
  <si>
    <t>98,24</t>
  </si>
  <si>
    <t>98,40</t>
  </si>
  <si>
    <t>98,60</t>
  </si>
  <si>
    <t>APM SD/SDLB/MI</t>
  </si>
  <si>
    <t>80,22</t>
  </si>
  <si>
    <t>80,25</t>
  </si>
  <si>
    <t>82,30</t>
  </si>
  <si>
    <t>83,50</t>
  </si>
  <si>
    <t>83,70</t>
  </si>
  <si>
    <t>85,60</t>
  </si>
  <si>
    <t>85,80</t>
  </si>
  <si>
    <t>APM SMP/MTS</t>
  </si>
  <si>
    <t>67,17</t>
  </si>
  <si>
    <t>67,20</t>
  </si>
  <si>
    <t>68,25</t>
  </si>
  <si>
    <t>70,40</t>
  </si>
  <si>
    <t>72,80</t>
  </si>
  <si>
    <t>73,50</t>
  </si>
  <si>
    <t>75,80</t>
  </si>
  <si>
    <t>APM SMA/MA</t>
  </si>
  <si>
    <t>Angka Putus Sekolah SD/SDLB/MI</t>
  </si>
  <si>
    <t>1,53</t>
  </si>
  <si>
    <t>1,50</t>
  </si>
  <si>
    <t>1,18</t>
  </si>
  <si>
    <t>1,05</t>
  </si>
  <si>
    <t>0,93</t>
  </si>
  <si>
    <t>0,89</t>
  </si>
  <si>
    <t>3,90</t>
  </si>
  <si>
    <t>Angka Putus Sekolah SMP/MTs</t>
  </si>
  <si>
    <t>0,05</t>
  </si>
  <si>
    <t>Angka Putus Sekolah SMA/MA</t>
  </si>
  <si>
    <t>0,22</t>
  </si>
  <si>
    <t>0,06</t>
  </si>
  <si>
    <t>Jumlah rata-rata Jarak tempuh sekolah dasar maks 3 km (SPM)</t>
  </si>
  <si>
    <t>Jumlah sekolah dasar dengan siswa per rombel maks 32 orang (SPM)</t>
  </si>
  <si>
    <t>Prosentase sekolah dasar mempunyai minimal 1 (satu) orang guru per kelas (SPM)</t>
  </si>
  <si>
    <t xml:space="preserve">Prosentase sekolah dasar mempunyai minimal 1 (satu) ruang guru (SPM) </t>
  </si>
  <si>
    <t>Prosentase sekolah dasar mempunyai minimal 2 (dua) orang guru S1/DIV dan bersertifikat pendidkan (SPM)</t>
  </si>
  <si>
    <t>prosentase sekolah dasar mempunyai 1 (satu) orang kepala sekolah S1/D IV Bersertifikat pendidikan (SPM)</t>
  </si>
  <si>
    <t>Rata-rata kunjungan pengawas sekolah dasar perbulan (SPM)</t>
  </si>
  <si>
    <t>Jumlah rata-rata jarak tempuh sekolah menengah maks 6 km (SPM)</t>
  </si>
  <si>
    <t>Jumlah sekolah menengah dengan siswa per rombel maks 36 orang (SPM)</t>
  </si>
  <si>
    <t>prosentase sekolah menegah mempunyai minimal 1 (satu) orang guru permata pelajaran</t>
  </si>
  <si>
    <t>prosentase sekolah menengah mempunyai minimal 1 (satu) ruang guru (SPM)</t>
  </si>
  <si>
    <t>prosentase sekolah menengah mempunyai guru mata pelajaran S1/DIV dan bersertifikat pendidikan (SPM)</t>
  </si>
  <si>
    <t>prosentase sekolah menengah  mempunyai 1 (satu) orang kepala sekolah  S1/Di IV bersertifikat pendidikan (SPM)</t>
  </si>
  <si>
    <t>Rata-rata kunjungan pengawas sekolah menengah perbulan (SPM)</t>
  </si>
  <si>
    <t xml:space="preserve">Rata-rata lama sekolah penduduk Usia 15 Tahun ke atas </t>
  </si>
  <si>
    <t>98,21</t>
  </si>
  <si>
    <t>98,5</t>
  </si>
  <si>
    <t>98,55</t>
  </si>
  <si>
    <t>99,2</t>
  </si>
  <si>
    <t>99,5</t>
  </si>
  <si>
    <t>99,65</t>
  </si>
  <si>
    <t>99,8</t>
  </si>
  <si>
    <t>99,81</t>
  </si>
  <si>
    <t>99,82</t>
  </si>
  <si>
    <t>99,83</t>
  </si>
  <si>
    <t>99,88</t>
  </si>
  <si>
    <t>Angka kelulusan SMA/SMK/MA</t>
  </si>
  <si>
    <t>99,32</t>
  </si>
  <si>
    <t>siswa</t>
  </si>
  <si>
    <t>Jumlah siswa kurang mampu penerima beasiswa</t>
  </si>
  <si>
    <t>jumlah sekolah yang mempunyai perpustakaan SD</t>
  </si>
  <si>
    <t>jumlah sekolah yang mempunyai perpustakaan SMP</t>
  </si>
  <si>
    <t xml:space="preserve">jumlah SMP yang mempunyai laboratorium </t>
  </si>
  <si>
    <t>Jumlah SMA/SMK yang mempunyai perpustakaan sekolah, sekolah, laboratorium, ruang praktikum</t>
  </si>
  <si>
    <t>KESRA SETDA</t>
  </si>
  <si>
    <t>Jamaah</t>
  </si>
  <si>
    <t>Sekolah</t>
  </si>
  <si>
    <t>TPA</t>
  </si>
  <si>
    <t>Masjid</t>
  </si>
  <si>
    <t>Tempat Peribadatan</t>
  </si>
  <si>
    <t>IRMA</t>
  </si>
  <si>
    <t>belum ada data</t>
  </si>
  <si>
    <t>12,14</t>
  </si>
  <si>
    <t>41,42</t>
  </si>
  <si>
    <t>42,14</t>
  </si>
  <si>
    <t>42,85</t>
  </si>
  <si>
    <t>10,79</t>
  </si>
  <si>
    <t>28,09</t>
  </si>
  <si>
    <t>32,14</t>
  </si>
  <si>
    <t>35,71</t>
  </si>
  <si>
    <t>37,14</t>
  </si>
  <si>
    <t>31,67</t>
  </si>
  <si>
    <t>36,50</t>
  </si>
  <si>
    <t>51,18</t>
  </si>
  <si>
    <t>57,53</t>
  </si>
  <si>
    <t>22,22</t>
  </si>
  <si>
    <t>73,52</t>
  </si>
  <si>
    <t>83,33</t>
  </si>
  <si>
    <t>7,50</t>
  </si>
  <si>
    <t>12,50</t>
  </si>
  <si>
    <t>16,25</t>
  </si>
  <si>
    <t>51,42</t>
  </si>
  <si>
    <t>lembaga</t>
  </si>
  <si>
    <t>Perda</t>
  </si>
  <si>
    <t>56</t>
  </si>
  <si>
    <t>62</t>
  </si>
  <si>
    <t>69</t>
  </si>
  <si>
    <t>81</t>
  </si>
  <si>
    <t>88</t>
  </si>
  <si>
    <t>51</t>
  </si>
  <si>
    <t>64</t>
  </si>
  <si>
    <t>71</t>
  </si>
  <si>
    <t>77</t>
  </si>
  <si>
    <t>83</t>
  </si>
  <si>
    <t>100</t>
  </si>
  <si>
    <t>SELURUH KECAMATAN</t>
  </si>
  <si>
    <t xml:space="preserve"> Prosentanse keterlibatan masyarakat dalam musrenbang Kecamatan</t>
  </si>
  <si>
    <t>LPM</t>
  </si>
  <si>
    <t>58</t>
  </si>
  <si>
    <t>Kader</t>
  </si>
  <si>
    <t>Meningkatnya kesetaraan gender,pemberdayaan perempuan dan perlindungan anak</t>
  </si>
  <si>
    <t>PP &amp; Anak</t>
  </si>
  <si>
    <t>Lembaga</t>
  </si>
  <si>
    <t>60,29</t>
  </si>
  <si>
    <t>1,95</t>
  </si>
  <si>
    <t>1,90</t>
  </si>
  <si>
    <t>1,85</t>
  </si>
  <si>
    <t>1,80</t>
  </si>
  <si>
    <t>1,75</t>
  </si>
  <si>
    <t>1,70</t>
  </si>
  <si>
    <t>1,65</t>
  </si>
  <si>
    <t xml:space="preserve"> Ratio</t>
  </si>
  <si>
    <t>Presentase Pekerja dibawah Umur</t>
  </si>
  <si>
    <t>Organisasi</t>
  </si>
  <si>
    <t>Cakupan Perempuan dan anak korban kekerasan yang mendapatkan penanganan Pengaduan Oleh Unit Pelayanan</t>
  </si>
  <si>
    <t>Tercapainya perencanaan dan pengendalian pembangunan daerah yang partisipatif, aspiratif dan berkualitas</t>
  </si>
  <si>
    <t>Tersedianya dokumen perencanaan RPJPD yang telah ditetapkan dengan PERDA</t>
  </si>
  <si>
    <t xml:space="preserve">1 </t>
  </si>
  <si>
    <t>100%   Review 1 dokumen RPJPD</t>
  </si>
  <si>
    <t>Tersedianya dokumen perencanaan RPJMD yang telah ditetapkan dengan PERDA</t>
  </si>
  <si>
    <t>Terlaksananya dan terfasilitasinya musrenbang RPJMD</t>
  </si>
  <si>
    <t xml:space="preserve">Terlaksananya dan terfasilitasinya musrenbang RKPD </t>
  </si>
  <si>
    <t>Tersedianya dokumen perencanaan RKPD yang telah ditetapkan dengan PERBUB</t>
  </si>
  <si>
    <t xml:space="preserve">Regulasi tentang perencanaan pembangunan daerah yang telah ditetapkan dengan PERDA </t>
  </si>
  <si>
    <t>HUKUM SETDA</t>
  </si>
  <si>
    <t>PERDA</t>
  </si>
  <si>
    <t>Regulasi tentang perencanaan pembangunan daerah yang telah ditetapkan dengan  PERKADA</t>
  </si>
  <si>
    <t xml:space="preserve"> PERKADA</t>
  </si>
  <si>
    <t xml:space="preserve">Tersedianya review RTRW yang telah ditetapkan dengan PERDA </t>
  </si>
  <si>
    <t xml:space="preserve"> dokumen RTRW</t>
  </si>
  <si>
    <t xml:space="preserve">     100%          Review  1 dokumen RTRW</t>
  </si>
  <si>
    <t xml:space="preserve">Persentase sinkronisasi program daerah dan pusat </t>
  </si>
  <si>
    <t>Jumlah SDM Perencana</t>
  </si>
  <si>
    <t xml:space="preserve">           14           (2/14 orang)</t>
  </si>
  <si>
    <t xml:space="preserve">            28           (2/14 orang)</t>
  </si>
  <si>
    <t xml:space="preserve">          50          (3/14 orang)</t>
  </si>
  <si>
    <t xml:space="preserve">          71            (3/14 orang)</t>
  </si>
  <si>
    <t xml:space="preserve">         100          (4/14 orang)</t>
  </si>
  <si>
    <t xml:space="preserve">           100            (14 orang)</t>
  </si>
  <si>
    <t xml:space="preserve">Jumlah pelatihan tentang Perencanaan </t>
  </si>
  <si>
    <t xml:space="preserve">          20 (2/10 orang)</t>
  </si>
  <si>
    <t xml:space="preserve">                     40       (2/10 orang)</t>
  </si>
  <si>
    <t xml:space="preserve">         60         (2/10 orang)</t>
  </si>
  <si>
    <t xml:space="preserve">           80            (2/10 orang)</t>
  </si>
  <si>
    <t xml:space="preserve">       100     (2/10 orang)</t>
  </si>
  <si>
    <t>Adanya dokumen hasil penelitian dan pengembangan  perencanaan pembangunan</t>
  </si>
  <si>
    <t xml:space="preserve">        16 (1/6 dokumen)</t>
  </si>
  <si>
    <t xml:space="preserve">           33   (1/6 dokumen)</t>
  </si>
  <si>
    <t xml:space="preserve">         66      (2/6 dokumen)</t>
  </si>
  <si>
    <t xml:space="preserve">       100    (2/6 dokumen)</t>
  </si>
  <si>
    <t xml:space="preserve">                      100  (6 dokumen)</t>
  </si>
  <si>
    <t>Penjabaran program RPJPD tiap periode ke dalam RPJMD</t>
  </si>
  <si>
    <t>Penjabaran program RPJMD ke dalam RKPD</t>
  </si>
  <si>
    <t>Persentase cakupan program RPJMD ke dalam RKPD</t>
  </si>
  <si>
    <t>Penjabaran program RKPD ke dalam APBD</t>
  </si>
  <si>
    <t>Persentase cakupan program RKPD ke dalam APBD</t>
  </si>
  <si>
    <t>Persentase pencapaian target RPJMD</t>
  </si>
  <si>
    <t>Laporan, dokumen</t>
  </si>
  <si>
    <t>Meningkatkan kualitas sistem kelembagaan dan ketatalaksanaan pemerintah daerah</t>
  </si>
  <si>
    <t>Tingkat pemenuhan kebutuhan administrasi perkantoran</t>
  </si>
  <si>
    <t>SELURUH SKPD</t>
  </si>
  <si>
    <t>Tingkat kedisiplinan aparatur</t>
  </si>
  <si>
    <t>Persentase rata-rata capaian kegiatan disetiap SKPD</t>
  </si>
  <si>
    <t>DPPKAD</t>
  </si>
  <si>
    <t>0,5</t>
  </si>
  <si>
    <t>0,31</t>
  </si>
  <si>
    <t>0,29</t>
  </si>
  <si>
    <t>0,28</t>
  </si>
  <si>
    <t>0,2</t>
  </si>
  <si>
    <t>media</t>
  </si>
  <si>
    <t>Temuan Auditor yang di tindaklanjuti</t>
  </si>
  <si>
    <t>INSPEKTORAT</t>
  </si>
  <si>
    <t>Meningkatkan pelayanan administrasi umum, kerumahtanggan dan keprotokolan pemerintah daerah</t>
  </si>
  <si>
    <t>SETWAN</t>
  </si>
  <si>
    <t>Sosialisasi perturan perundang-undangan</t>
  </si>
  <si>
    <t>HUMAS SETDA</t>
  </si>
  <si>
    <t>Peningkatan minat baca siswa dan Masyarakat Kabupaten Empat Lawang dilihat dari Banyaknya Jumlah Pengunjung</t>
  </si>
  <si>
    <t>PERPUS ARSIP</t>
  </si>
  <si>
    <t>Pengunjung</t>
  </si>
  <si>
    <t>Berkas</t>
  </si>
  <si>
    <t>Meningkatkan kualitas sumber daya aparatur</t>
  </si>
  <si>
    <t>A</t>
  </si>
  <si>
    <t>Bidang Pengadaan Pegawai</t>
  </si>
  <si>
    <t>61,67</t>
  </si>
  <si>
    <t>69,34</t>
  </si>
  <si>
    <t>84,67</t>
  </si>
  <si>
    <t>92,33</t>
  </si>
  <si>
    <t>Persentase PNS yang pensiun</t>
  </si>
  <si>
    <t>Persentase ketersediaan data kepegawaian yang akurat dan terkini</t>
  </si>
  <si>
    <t>B</t>
  </si>
  <si>
    <t>Bidang Pengembangan Pegawai</t>
  </si>
  <si>
    <t>Persentase PNS yang ditetapkan menduduki jabatan fungsional</t>
  </si>
  <si>
    <t>18,47</t>
  </si>
  <si>
    <t>19,9</t>
  </si>
  <si>
    <t>39,9</t>
  </si>
  <si>
    <t>59,8</t>
  </si>
  <si>
    <t>79,8</t>
  </si>
  <si>
    <t>55,53</t>
  </si>
  <si>
    <t>66,60</t>
  </si>
  <si>
    <t>77,87</t>
  </si>
  <si>
    <t>88,74</t>
  </si>
  <si>
    <t>Persentase PNS yang ditempatkan sesuai dengan pendidikan, keahlian, dan kompetensi</t>
  </si>
  <si>
    <t>Jumlah PNS yang ditempatkan sesuai dengan pendidikan, keahlian, dan kompetensi</t>
  </si>
  <si>
    <t>PNS</t>
  </si>
  <si>
    <t>Bidang Kepangkatan dan Gaji Berkala</t>
  </si>
  <si>
    <t>Persentase PNS yang mengalami kenaikan pangkat</t>
  </si>
  <si>
    <t>25,58</t>
  </si>
  <si>
    <t>26,02</t>
  </si>
  <si>
    <t>21,82</t>
  </si>
  <si>
    <t>19,42</t>
  </si>
  <si>
    <t>18,87</t>
  </si>
  <si>
    <t>17,48</t>
  </si>
  <si>
    <t>Persentase PNS yang mengalami kenaikan gaji</t>
  </si>
  <si>
    <t>76,73</t>
  </si>
  <si>
    <t>69,38</t>
  </si>
  <si>
    <t>58,20</t>
  </si>
  <si>
    <t>51,79</t>
  </si>
  <si>
    <t>47,68</t>
  </si>
  <si>
    <t>44,17</t>
  </si>
  <si>
    <t>Penanganan proses perceraian PNS</t>
  </si>
  <si>
    <t>Penanganan  kasus-kasus pelanggaran disiplin PNS</t>
  </si>
  <si>
    <t>Persentase PNS yang mengikuti Ujian Dinas dan Ujian Penyesuaian Ijazah</t>
  </si>
  <si>
    <t>D</t>
  </si>
  <si>
    <t>Bidang Diklat</t>
  </si>
  <si>
    <t>CPNS</t>
  </si>
  <si>
    <t>Jumlah PNS yang mengikuti diklat penjenjangan</t>
  </si>
  <si>
    <t xml:space="preserve"> PNS</t>
  </si>
  <si>
    <t>Jumlah PNS yang telah mengikuti diklat fungsional</t>
  </si>
  <si>
    <t>Jumlah PNS yang mendapat izin belajar</t>
  </si>
  <si>
    <t>Jumlah anggota KORPRI yang mengikuti PORKAB</t>
  </si>
  <si>
    <t>Jumlah anggota KORPRI yang mengikuti Porprov</t>
  </si>
  <si>
    <t xml:space="preserve"> KALI</t>
  </si>
  <si>
    <t>Jumlah PNS yang mengikuti jumlah persiapan pengucapan UUD 1945 dan Panca Prasetya KORPRI</t>
  </si>
  <si>
    <t>Jumlah calon pensiun an yang dilatih berwirausaha</t>
  </si>
  <si>
    <t>Belum ada Kegiatan</t>
  </si>
  <si>
    <t>Adanya pelatihan ketrampilan bagi aparatur menjelang pensiun</t>
  </si>
  <si>
    <t>usaha</t>
  </si>
  <si>
    <t>Meningkatkan kualitas pengelolaan keuangan daerah</t>
  </si>
  <si>
    <t>kegiatan</t>
  </si>
  <si>
    <t>WDP/WTP</t>
  </si>
  <si>
    <t>Rp</t>
  </si>
  <si>
    <t>belumada/ ada</t>
  </si>
  <si>
    <t>Meningkatkan pelayanan administrasi kependudukan</t>
  </si>
  <si>
    <t>CAPIL</t>
  </si>
  <si>
    <t>berkas</t>
  </si>
  <si>
    <t>25</t>
  </si>
  <si>
    <t>30</t>
  </si>
  <si>
    <t>35</t>
  </si>
  <si>
    <t>4o</t>
  </si>
  <si>
    <t>45</t>
  </si>
  <si>
    <t>50</t>
  </si>
  <si>
    <t>53.67</t>
  </si>
  <si>
    <t>68.46</t>
  </si>
  <si>
    <t>55.37</t>
  </si>
  <si>
    <t>53.04%</t>
  </si>
  <si>
    <t>52.52</t>
  </si>
  <si>
    <t>51,42%</t>
  </si>
  <si>
    <t>10.50</t>
  </si>
  <si>
    <t>13.81</t>
  </si>
  <si>
    <t>17.16</t>
  </si>
  <si>
    <t>20.47</t>
  </si>
  <si>
    <t>23.59</t>
  </si>
  <si>
    <t>26.66</t>
  </si>
  <si>
    <t>akte</t>
  </si>
  <si>
    <t>10</t>
  </si>
  <si>
    <t>20</t>
  </si>
  <si>
    <t>40</t>
  </si>
  <si>
    <t>Jenis</t>
  </si>
  <si>
    <t>12</t>
  </si>
  <si>
    <t>Tidak ada kasus yang diadukan masyarakat</t>
  </si>
  <si>
    <t xml:space="preserve">Adanya sosialisasi pencegahan bahaya                                              </t>
  </si>
  <si>
    <t>Pelatihan / Spanduk</t>
  </si>
  <si>
    <t>10 kali pelatihan di setiap kecamatan</t>
  </si>
  <si>
    <t>Sosialisasi</t>
  </si>
  <si>
    <t>Bimtek</t>
  </si>
  <si>
    <t>Mobil Damkar, gas pemadam kebakaran, masker oksigen</t>
  </si>
  <si>
    <t>6 mobil Damkar, 6 gas pemadam kebakaran</t>
  </si>
  <si>
    <t>8 mobil Damkar, 8 gas pemadam kebakaran, 2 Masker oksigen</t>
  </si>
  <si>
    <t>8 mobil Damkar, 8 gas pemadam kebakaran, 3 Masker oksigen</t>
  </si>
  <si>
    <t>9 mobil Damkar, 9 gas pemadam kebakaran, 3 Masker oksigen</t>
  </si>
  <si>
    <t>Meningkatkan pelayanan sosial kemasyarakatan</t>
  </si>
  <si>
    <t>Prosentase penyandang cacat fisik dan mental serta lanjut usia tidak potensial yang telah menerima jaminan sosial</t>
  </si>
  <si>
    <t>Tingkat Layanan masyarakat berbasis wilayah kecamatan</t>
  </si>
  <si>
    <t>KEC. PASEMAH AIR KERUH</t>
  </si>
  <si>
    <t>KEC. MUARA PINANG</t>
  </si>
  <si>
    <t>KEC. LINTANG KANAN</t>
  </si>
  <si>
    <t>KEC. PENDOPO</t>
  </si>
  <si>
    <t>KEC. ULU MUSI</t>
  </si>
  <si>
    <t>KEC. TALANG PADANG</t>
  </si>
  <si>
    <t>KEC. TEBING TINGGI</t>
  </si>
  <si>
    <t>KEC. SIKAP DALAM</t>
  </si>
  <si>
    <t>KEC. PENDOPO BARAT</t>
  </si>
  <si>
    <t>KEC. SALING</t>
  </si>
  <si>
    <t>Terwujudnya keamanan dilingkungan masyarakat</t>
  </si>
  <si>
    <t>POLPP &amp; LINMAS</t>
  </si>
  <si>
    <t>Jumlah pos keamanan/ pos siskamling di setiap desa</t>
  </si>
  <si>
    <t>Pos</t>
  </si>
  <si>
    <t>24</t>
  </si>
  <si>
    <t>Orang/TPS</t>
  </si>
  <si>
    <t xml:space="preserve"> Pos</t>
  </si>
  <si>
    <t>KESBANGPOL</t>
  </si>
  <si>
    <t xml:space="preserve">9,09 </t>
  </si>
  <si>
    <t>54,55</t>
  </si>
  <si>
    <t>59,09</t>
  </si>
  <si>
    <t>Partai</t>
  </si>
  <si>
    <t>TABEL.9.1</t>
  </si>
  <si>
    <t>TABEL PENETAPAN INDIKATOR KINERJA DAERAH</t>
  </si>
  <si>
    <t>TERHADAP PENCAPAIAN KINERJA PENYELENGGARAAN URUSAN PEMERINTAHAN</t>
  </si>
  <si>
    <t>KABUPATEN EMPAT LAWANG 2013-2018</t>
  </si>
  <si>
    <t>c</t>
  </si>
  <si>
    <t>DISHUB KOMINFO</t>
  </si>
  <si>
    <t>14,30</t>
  </si>
  <si>
    <t>0,10</t>
  </si>
  <si>
    <t>0,50</t>
  </si>
  <si>
    <t>0,01</t>
  </si>
  <si>
    <t>1,15</t>
  </si>
  <si>
    <t>Adanya pengendalian penduduk</t>
  </si>
  <si>
    <t>14,30 Ha</t>
  </si>
  <si>
    <t>0 Ha</t>
  </si>
  <si>
    <t>0,50 Ha</t>
  </si>
  <si>
    <t>0,05 Ha</t>
  </si>
  <si>
    <t>1,15 Ha</t>
  </si>
  <si>
    <t>kantor</t>
  </si>
  <si>
    <t>Persentase pengendalian pelaksanaan kebijakan pembangunan ekonomi</t>
  </si>
  <si>
    <t>Ada</t>
  </si>
  <si>
    <t>Kantor</t>
  </si>
  <si>
    <t>Program peningkatan sistem pengawasan internal dan pengendalian pelaksanaan kebijakan KDH</t>
  </si>
  <si>
    <t>Program penyiapan logistik bencana</t>
  </si>
  <si>
    <t>Program rehabilitasi korban bencana</t>
  </si>
  <si>
    <t>Program rekonstruksi wilayah pasca bencana</t>
  </si>
  <si>
    <t>Program penyiapan tenaga pendamping kelompok bina keluarga (BKB)</t>
  </si>
  <si>
    <t>Program pembinaan peran serta masyarakat dalam pelayanan KB/KR yang mandiri</t>
  </si>
  <si>
    <t>Program pengendalian kependudukan</t>
  </si>
  <si>
    <t>Cakupan sasaran PUS menjadi peserta KB aktif</t>
  </si>
  <si>
    <t>Program pengembangan pusat pelayanan informasi dan konseling KRR</t>
  </si>
  <si>
    <t>Program peningkatan sarana dan prasarana pelayanan komunikasih/ informasi/ Edukasi (KIE)/ advokasi KB</t>
  </si>
  <si>
    <t>Sosialisasi peraturan perundangan</t>
  </si>
  <si>
    <t>131 kali</t>
  </si>
  <si>
    <t>85 kali</t>
  </si>
  <si>
    <t>35 kali</t>
  </si>
  <si>
    <t>42 kali</t>
  </si>
  <si>
    <t>300 kali</t>
  </si>
  <si>
    <t>325 kali</t>
  </si>
  <si>
    <t>52 kali</t>
  </si>
  <si>
    <t>55 kali</t>
  </si>
  <si>
    <t>15 kali</t>
  </si>
  <si>
    <t>48 kali</t>
  </si>
  <si>
    <t>60 kali</t>
  </si>
  <si>
    <t>7 kali</t>
  </si>
  <si>
    <t>Jam</t>
  </si>
  <si>
    <t>Usaha</t>
  </si>
  <si>
    <t>Adanya Lakip SKPD</t>
  </si>
  <si>
    <t>35 SKPD</t>
  </si>
  <si>
    <t>74,29%</t>
  </si>
  <si>
    <t>91,43%</t>
  </si>
  <si>
    <t>97,14%</t>
  </si>
  <si>
    <t>Perumahan</t>
  </si>
  <si>
    <t>Energi dan Sumberdaya Mineral</t>
  </si>
  <si>
    <t>kehutanan</t>
  </si>
  <si>
    <t>8 izin</t>
  </si>
  <si>
    <t>15 izin</t>
  </si>
  <si>
    <t>tata ruang</t>
  </si>
  <si>
    <t>PU CK/bappeda</t>
  </si>
  <si>
    <t>Program Pengendalian Pemanfaatan Ruang</t>
  </si>
  <si>
    <t>Kehutanan</t>
  </si>
  <si>
    <t>Perindustrian</t>
  </si>
  <si>
    <t>Pariwisata /Ekonomi Kreatif</t>
  </si>
  <si>
    <t>Ketenagakerjaan</t>
  </si>
  <si>
    <t>24 jam</t>
  </si>
  <si>
    <t>Program kesehatan reproduksi remaja</t>
  </si>
  <si>
    <t>program ketahanan dan pemberdayaan keluarga</t>
  </si>
  <si>
    <t>program penguatan pelembagaan keluar kecil berkualitas</t>
  </si>
  <si>
    <t>Otonomi Daerah, Pemerintahan Umum, Adsministrasi Keuangan Daerah, Perangkat Daerah, Kepegawaian dan Persandian</t>
  </si>
  <si>
    <t>Mengembangkan Sistem Pengendalian Internal Pemerintah (SPIP) di seluruh SKPD</t>
  </si>
  <si>
    <t>Adanya LAKIP SKPD</t>
  </si>
  <si>
    <t>Program peningkatan profesionalisme tenaga pemeriksa dan aparaturpengawasan</t>
  </si>
  <si>
    <t>131 </t>
  </si>
  <si>
    <t>85 </t>
  </si>
  <si>
    <t>Program peningkatan kapasitas lembaga perwakilan rakyat daerah</t>
  </si>
  <si>
    <t> 300</t>
  </si>
  <si>
    <t>325 </t>
  </si>
  <si>
    <t> 52</t>
  </si>
  <si>
    <t>55 </t>
  </si>
  <si>
    <t> 12</t>
  </si>
  <si>
    <t> 15</t>
  </si>
  <si>
    <t> 48</t>
  </si>
  <si>
    <t>60 </t>
  </si>
  <si>
    <t> 5</t>
  </si>
  <si>
    <t>7 </t>
  </si>
  <si>
    <t>Program penguatan kelembagaan pengarusutamaan Gender dan Anak</t>
  </si>
  <si>
    <t>Program Rehabilitasi dan Pemeliharaan Prasarana dan Fasilitas LLAJ</t>
  </si>
  <si>
    <t xml:space="preserve"> Program fasilitasi Peningkatan SDM bidang komunikasi dan informasi</t>
  </si>
  <si>
    <t>Program peningkatan produksi hasil peternakan</t>
  </si>
  <si>
    <t xml:space="preserve"> Program Pengembangan Budidaya Perikanan</t>
  </si>
  <si>
    <t xml:space="preserve"> Program Peningkatan Ketahanan Pangan pertanian/perkebunan</t>
  </si>
  <si>
    <t>Program Peningkatan Produksi Pertanian/Perkebunan </t>
  </si>
  <si>
    <t>Program Pengembangan Sentra-sentra Industri Potensial/</t>
  </si>
  <si>
    <t>Program Penataan Struktur Industri/</t>
  </si>
  <si>
    <t>Pengembangan Infra Struktur Perdagangan/</t>
  </si>
  <si>
    <t>Program Peningkatan dan Pengembangan Ekspor/</t>
  </si>
  <si>
    <t>Program Peningkatan Iklim Investasi dan Realisasi Investasi</t>
  </si>
  <si>
    <t>Program Penyiapan potensi sumberdaya, sarana dan prasarana daerah</t>
  </si>
  <si>
    <t>TABEL 8.1</t>
  </si>
  <si>
    <t xml:space="preserve">INDIKASI RENCANA PROGRAM PRIORITAS YANG DISERTAI KEBUTUHAN PENDANAAN </t>
  </si>
  <si>
    <t>Dalam ribuan rupiah (000,00)</t>
  </si>
  <si>
    <t>Kode</t>
  </si>
  <si>
    <t xml:space="preserve">Program </t>
  </si>
  <si>
    <t>Data Capaian pada Tahun Awal Perencanaan (2013)</t>
  </si>
  <si>
    <t xml:space="preserve">Target Kinerja Program dan Kerangka Pendanaan                                                                                                                                 </t>
  </si>
  <si>
    <t>urusan</t>
  </si>
  <si>
    <t>bidang</t>
  </si>
  <si>
    <t>program</t>
  </si>
  <si>
    <t>Tahun-2014</t>
  </si>
  <si>
    <t>Tahun-2015</t>
  </si>
  <si>
    <t>Tahun-2016</t>
  </si>
  <si>
    <t>Tahun-2017</t>
  </si>
  <si>
    <t>Tahun-2018</t>
  </si>
  <si>
    <t>Kondisi Kinerja pada akhir periode SKPD (2018)</t>
  </si>
  <si>
    <t>target</t>
  </si>
  <si>
    <t>(11)</t>
  </si>
  <si>
    <t>(13)</t>
  </si>
  <si>
    <t>(15)</t>
  </si>
  <si>
    <t>(16)</t>
  </si>
  <si>
    <t>(17)</t>
  </si>
  <si>
    <t>PRIORITAS I: PEMBANGUNAN INFRASTRUKTUR DAN ENERGI</t>
  </si>
  <si>
    <t>03</t>
  </si>
  <si>
    <t>02</t>
  </si>
  <si>
    <t>Prosentase Tersedianya akses jalan dan jembatan sampai dengan wilayah terpencil dan terisolasi, tersedianya mobilitas, aksesibilitas, kecepatan dan keselamatan pengguna jalan</t>
  </si>
  <si>
    <t>Program rehabilitasi/pemeliharaan Jalan dan Jembatan</t>
  </si>
  <si>
    <t xml:space="preserve">Prosentase Tersedianya jalan dan jembatan yang menjamin kendaraan dapat berjalan dengan selamat dan nyaman </t>
  </si>
  <si>
    <t>Program inspeksi kondisi Jalan dan Jembatan</t>
  </si>
  <si>
    <t>Program Pembangunan sistem informasi/data base jalan dan jembatan</t>
  </si>
  <si>
    <t>06</t>
  </si>
  <si>
    <t>Program peningkatan kualitas penangan,pengendalian, pembangunan kebinamargaan</t>
  </si>
  <si>
    <t>Prosentase pengawasan dan pengendalian pembangunan infrasturktur wilayah</t>
  </si>
  <si>
    <t xml:space="preserve">Perhubungan </t>
  </si>
  <si>
    <t>07</t>
  </si>
  <si>
    <t>01</t>
  </si>
  <si>
    <t>Program pembangunan prasarana dan fasilitas perhubungan</t>
  </si>
  <si>
    <t>Tefokusnya tempat angkutan umum untuk transportasi</t>
  </si>
  <si>
    <t>1 terminal tipe B</t>
  </si>
  <si>
    <t>DED Terminal Tipe C Kec. Pendopo/ Pengadaan Lahan Terminal Tipe C Kec.Ulu Musi</t>
  </si>
  <si>
    <t>1 Terminal tipe B/ 1 Terminal Tipe C Kec. Pendopo/ DED Terminal Tipe C Kec. Ulu Musi</t>
  </si>
  <si>
    <t>Lanjutan Pembangunan terminal tipe C Kec. Pendopo</t>
  </si>
  <si>
    <t>Lanjutan Pembangunan Fisik Terminal Tipe C Kec. Ulu Musi</t>
  </si>
  <si>
    <t>Program pengendalian dan pengamanan lalu lintas</t>
  </si>
  <si>
    <t>Meningkatnya keselamatan dan kenyamanan dalam berlalu lintas</t>
  </si>
  <si>
    <t>3 Unit Warning Light</t>
  </si>
  <si>
    <t>68 Titik rambu-rambu lalu lintas/ 2700 m marka jalan/ 180 m pagar pengaman jalan/ 4 unit warning light/ 125 batang deliniator</t>
  </si>
  <si>
    <t>100 Titik rambu-rambu lalu lintas/ 5400 m marka jalan/ 500 m pagar pengaman jalan/ 6 unit warning light/ 125 batang deliniator/ 4 Halte</t>
  </si>
  <si>
    <t>150 Titik rambu-rambu lalu lintas/ 5400 m marka jalan/ 500 m pagar pengaman jalan/ 4 Halte</t>
  </si>
  <si>
    <t>100 Titik rambu-rambu lalu lintas/ 5400 m marka jalan/ 500 m pagar pengaman jalan/ 4 Halte</t>
  </si>
  <si>
    <t>68 Titik rambu-rambu lalu lintas/ 5400 m marka jalan/ 500 m pagar pengaman jalan/ 4 Halte</t>
  </si>
  <si>
    <t>Program peningkatan kelayakan pengoprasian kendaraan bermotor</t>
  </si>
  <si>
    <t>Terpeliharanya standar operasi bagi angkutan barang/angkutan</t>
  </si>
  <si>
    <t>DED Pengujian Kendaraan Bermotor</t>
  </si>
  <si>
    <t>1 Balai Uji Kendaraan Bermotor</t>
  </si>
  <si>
    <t>1 paket peraltan pengujian kendaraan bermotor</t>
  </si>
  <si>
    <t>1 unit kendaraan uji keliling</t>
  </si>
  <si>
    <t>Meningkatnya disiplin dalam berlalu lintas</t>
  </si>
  <si>
    <t>4 Kali razia angkutan umum/ Blanko Perizinan perhubungan/ 14 Hari operasi  angkutan lebaran terpadu/ 3 kali kegiatan pengamanan lalu lintas hari besar</t>
  </si>
  <si>
    <t>4 Kali razia angkutan umum/ 14 Hari operasi  angkutan lebaran terpadu/ 3 kali kegiatan pengamanan lalu lintas hari besar</t>
  </si>
  <si>
    <t>1 kali sosialisasi /4 Kali razia angkutan umum/ 14 Hari operasi  angkutan lebaran terpadu/ 3 kali kegiatan pengamanan lalu lintas hari besar</t>
  </si>
  <si>
    <t>1 kali sosialisasi /4 Kali razia angkutan umum/1 trayek tebing-pendopo/ 14 Hari operasi  angkutan lebaran terpadu/ 3 kali kegiatan pengamanan lalu lintas hari besar</t>
  </si>
  <si>
    <t>1 kali sosialisasi /4 Kali razia angkutan umum/1 trayek tebing-ulumusi/ 14 Hari operasi  angkutan lebaran terpadu/ 3 kali kegiatan pengamanan lalu lintas hari besar</t>
  </si>
  <si>
    <t>Komunikasi dan Informatika</t>
  </si>
  <si>
    <t>Program pengembangan komunikasi, informasi dan media massa</t>
  </si>
  <si>
    <t>Akses internet  masyarakat di daerah</t>
  </si>
  <si>
    <t>23 Pegawai/ 1 WIM, 1 ICT/ 4 Handy Talkie, 1 Camera Foto</t>
  </si>
  <si>
    <t xml:space="preserve">9 Hotspot di 9 Kecamatan / 2 Perda/ 1 Lomba kreasi web dan blog/ 1 WIM </t>
  </si>
  <si>
    <t xml:space="preserve"> Hotspot di 9 desa kec.Tbg dan saling / 2 Perda/ 1 Lomba kreasi web dan blog/ 1 WIM </t>
  </si>
  <si>
    <t xml:space="preserve"> Hotspot di 9 desa kec.pendopo / 2 Perda/ 1 Lomba kreasi web dan blog/ 1 WIM </t>
  </si>
  <si>
    <t xml:space="preserve"> Hotspot di 9 desa kec.Muara pinang / 2 Perda/ 1 Lomba kreasi web dan blog/ 1 WIM </t>
  </si>
  <si>
    <t xml:space="preserve"> Hotspot di 9 desa kec.Sikap Dalam/ 2 Perda/ 1 Lomba kreasi web dan blog/ 1 WIM </t>
  </si>
  <si>
    <t xml:space="preserve"> Hotspot di 9 desa kec.Paiker/ 2 Perda/ 1 Lomba kreasi web dan blog/ 1 WIM </t>
  </si>
  <si>
    <t xml:space="preserve">Program peningkatan sarana dan prasarana komunikasi dan informasi </t>
  </si>
  <si>
    <t>Terfasilitasinya sistem informasi di daerah</t>
  </si>
  <si>
    <t>1 Dok / 1 paket/ 1 Unit telepon Voip/1 gedung PPID/ 1 Tower Rifiter</t>
  </si>
  <si>
    <t>1 unit mobil informasi keliling/ perawatan telepon Voip</t>
  </si>
  <si>
    <t>Program kerjasama Informasi dan media massapengembangan komunikasi, informasi dan media massa</t>
  </si>
  <si>
    <t>Tersebarnya informasi pembngunan daerah</t>
  </si>
  <si>
    <t>1 Web Pemda/ 1 Web LPSE</t>
  </si>
  <si>
    <t xml:space="preserve">Biaya Operasional Web Pemda/ 1 Web Penyuluhan </t>
  </si>
  <si>
    <t xml:space="preserve">Biaya Operasional Web Pemda, Web LPSE/ 10 kali Penyuluhan media tradisional/ 1 Kali sosialisai </t>
  </si>
  <si>
    <t xml:space="preserve">Biaya Operasional Web Pemda, Web LPSE/ 50 Spanduk, 50 baleho penyuluhan/10 kali Penyuluhan media tradisional/ 1 Kali sosialisai </t>
  </si>
  <si>
    <t>Terpenuhinya listrik diseluruh desa di Kabupaten Empat Lwang</t>
  </si>
  <si>
    <t>jumlah penambang yang berizin/Jumlah PAD dari sektor Pertambangan</t>
  </si>
  <si>
    <t>8 usaha</t>
  </si>
  <si>
    <t>12 usaha/20 Juta</t>
  </si>
  <si>
    <t>15 usaha/20 Juta</t>
  </si>
  <si>
    <t>15 usaha/1 M</t>
  </si>
  <si>
    <t>PRIORITAS II: PENGELOLAAN LINGKUNGAN DAN PENGENDALIAN BENCANA</t>
  </si>
  <si>
    <t xml:space="preserve">Lingkungan Hidup </t>
  </si>
  <si>
    <t>08</t>
  </si>
  <si>
    <t>Terpenuhinya Sarana dan Prasarana Persampahan/ Jumlah peserta binaan pengelolaan persampahan PHBS/ Timbulnya sampah yang dikelola</t>
  </si>
  <si>
    <t>480 set/ 13,3 %</t>
  </si>
  <si>
    <t>718 unit/ 100 peserta/ 1500 Kg sampah</t>
  </si>
  <si>
    <t>760 unit/ 125 peserta/ 2000 Kg sampah</t>
  </si>
  <si>
    <t>775 unit/ 150 peserta/ 2500 Kg sampah</t>
  </si>
  <si>
    <t>790 unit/ 175 peserta/ 3000 Kg sampah</t>
  </si>
  <si>
    <t>805 unit/ 200 peserta/ 4000 Kg sampah</t>
  </si>
  <si>
    <t>4355 unit/ 750 peserta/ 14150 Kg sampah</t>
  </si>
  <si>
    <t>Program Pengendalian Pencemaran dan Perusakan Lingkungan Hidup</t>
  </si>
  <si>
    <t>terbentuknya kader lingkungan untuk pengelolaan persampahan</t>
  </si>
  <si>
    <t>19,20%/ 14% 140 Km², 1 pengaduan/ 20 %</t>
  </si>
  <si>
    <t>200 km²/ 10 usaha/ 1 buah</t>
  </si>
  <si>
    <t>300 km²/ 13 usaha/ 1 buah</t>
  </si>
  <si>
    <t>400 km²/ 18 usaha/ 1 buah</t>
  </si>
  <si>
    <t>500 km²/ 22 usaha/ 1 buah</t>
  </si>
  <si>
    <t>622,45 km²/ 25 usaha/ 1 buah</t>
  </si>
  <si>
    <t>622,45 km²/ 25 usaha/ 4 buah</t>
  </si>
  <si>
    <t>terbentuknya desa yang mengarah menuju desa proklim</t>
  </si>
  <si>
    <t>50 orang/ 75 unit</t>
  </si>
  <si>
    <t>60 orang/ 75 unit</t>
  </si>
  <si>
    <t>70 orang/ 75 unit</t>
  </si>
  <si>
    <t>80 orang/ 75 unit</t>
  </si>
  <si>
    <t>90 orang/ 75 unit</t>
  </si>
  <si>
    <t>350 orang/ 75 unit</t>
  </si>
  <si>
    <t>Jumlah Laporan Wajib Lingkungan Hidup</t>
  </si>
  <si>
    <t>60 buku</t>
  </si>
  <si>
    <t>150 buku</t>
  </si>
  <si>
    <t>terukurnya kadar polisi udara dari sumber tidak bergerak sebagai pemenuhan SPM bidang lingkungan hidup</t>
  </si>
  <si>
    <t>6 %/ 20 %</t>
  </si>
  <si>
    <t>0/ 1 lokasi</t>
  </si>
  <si>
    <t>2 lokasi</t>
  </si>
  <si>
    <t>2 lokasi/ 3 lokasi</t>
  </si>
  <si>
    <t>2 lokasi/ 4 lokasi</t>
  </si>
  <si>
    <t>2 lokasi/ 5 lokasi</t>
  </si>
  <si>
    <t>8 lokasi/ 5 lokasi</t>
  </si>
  <si>
    <t>Jumlah penanaman pohon diluar kawasan hutan dan pada bantaran sungai</t>
  </si>
  <si>
    <t>2400 pohon</t>
  </si>
  <si>
    <t>2500 pohon</t>
  </si>
  <si>
    <t>3000 pohon</t>
  </si>
  <si>
    <t>3500 pohon</t>
  </si>
  <si>
    <t>4000 pohon</t>
  </si>
  <si>
    <t>18000 pohon</t>
  </si>
  <si>
    <t>Tersedianya Peralatan Laboratorium</t>
  </si>
  <si>
    <t>4 alat</t>
  </si>
  <si>
    <t>9 alat</t>
  </si>
  <si>
    <t>10 alat</t>
  </si>
  <si>
    <t>11 alat</t>
  </si>
  <si>
    <t>12 alat</t>
  </si>
  <si>
    <t>46 alat</t>
  </si>
  <si>
    <t>Jumlah masyarakat  yang diberikan sosialisasi tentang peraturan perundang-undangan</t>
  </si>
  <si>
    <t>100 orang/ 2 dokumen</t>
  </si>
  <si>
    <t>150 orang/ 2 dokumen</t>
  </si>
  <si>
    <t>200 orang/ 2 dokumen</t>
  </si>
  <si>
    <t>250 orang</t>
  </si>
  <si>
    <t>300 orang/ 2 dokumen</t>
  </si>
  <si>
    <t>1000 orang/ 10 dokumen</t>
  </si>
  <si>
    <t>xx</t>
  </si>
  <si>
    <t>Jumlah Taman Kehati sebagai Adaptasi dan Mitigasi Perubahan Iklim</t>
  </si>
  <si>
    <t>1 lokasi</t>
  </si>
  <si>
    <t>Program Pengembangan Kinerja Pengelolaan Persampahan</t>
  </si>
  <si>
    <t>Meningkatnya kemampuan aparat dan sarana prasarana pengelolaan persampahan</t>
  </si>
  <si>
    <t>145 petugas kebersihan, 6 truck (3 rusak), 9 bentor (2 rusak)</t>
  </si>
  <si>
    <t xml:space="preserve">147 petugas kebersihan, 1 dumptruck, 3 truck , 7 bentor </t>
  </si>
  <si>
    <t>167 petugas kebersihan, 3 dumptruck, 3 truck , 10 bentor, 6 gerobak sampah, 1 mobil tinja</t>
  </si>
  <si>
    <t>187 petugas kebersihan, 5 dumptruck, 3 truck , 13 bentor, 12 gerobak sampah</t>
  </si>
  <si>
    <t>207 petugas kebersihan, 7 dumptruck, 3 truck , 16 bentor, 18 gerobak sampah, 2 mobil tinja</t>
  </si>
  <si>
    <t>227 petugas kebersihan, 9 dumptruck, 3 truck , 19 bentor, 24 gerobak sampah, 2 mobil tinja</t>
  </si>
  <si>
    <t>Dinas Pasar, Kebersihan dan Keindahan Kota</t>
  </si>
  <si>
    <t>Program Pembinaan Pedagang Kaki Lima dan Asongan</t>
  </si>
  <si>
    <t>Program  Pencegahan Dini Dan Penanggulangan Korban Bencana Alam</t>
  </si>
  <si>
    <t xml:space="preserve">Cakupan Pelayanan Bencana Kebakaran </t>
  </si>
  <si>
    <t>10 Kec / 25 x Kejadian</t>
  </si>
  <si>
    <t>10 Kec / 48 x Kejadian</t>
  </si>
  <si>
    <t>10  Kec / 48x Kejadian</t>
  </si>
  <si>
    <t>10 Kec. / 48x Kejadian</t>
  </si>
  <si>
    <t>10 Kec./ 48x Kejadian</t>
  </si>
  <si>
    <t>10 Kec/ 48 kejadian</t>
  </si>
  <si>
    <t>Program Kesiagaan Bencana</t>
  </si>
  <si>
    <t>Tingkat waktu Tanggap (Response Time Rate) wilyah manajemen kebakaran (SPM)</t>
  </si>
  <si>
    <t>1x 24 jam</t>
  </si>
  <si>
    <t>04</t>
  </si>
  <si>
    <t>Program Peningkatan kesiapan  siagaan dan Pencegahan Bahaya Kebakaran</t>
  </si>
  <si>
    <t>Adanya sosialisasi Pencegahan Bahaya kebakaran, Banjir Tanah Longsor</t>
  </si>
  <si>
    <t>1x pelatihan</t>
  </si>
  <si>
    <t xml:space="preserve">0 </t>
  </si>
  <si>
    <t>10x pelatihan / 1x sosialisasi</t>
  </si>
  <si>
    <t>10x pelatihan di kec. / 1o spanduk di setiap kec.</t>
  </si>
  <si>
    <t>Program Penangan  Bencana Dan kejadian luar biasa</t>
  </si>
  <si>
    <t>Rekrutment Tenaga Sukarela Pertolongan Bencana</t>
  </si>
  <si>
    <t>60 0rang</t>
  </si>
  <si>
    <t>60 org</t>
  </si>
  <si>
    <t>120 org</t>
  </si>
  <si>
    <t>200 org</t>
  </si>
  <si>
    <t xml:space="preserve">Program Mobilisasi Korban Bencana </t>
  </si>
  <si>
    <t>Terlaksananya Kesiapan Peralatan Dasar Penanganan Bencana</t>
  </si>
  <si>
    <t>1 keg</t>
  </si>
  <si>
    <t>1 Lap</t>
  </si>
  <si>
    <t>Program Rehabilitas korban Bencana</t>
  </si>
  <si>
    <t>Perbaikan dan pemulihan Prasarana dan sarana umum</t>
  </si>
  <si>
    <t>Program Rekontruksi wilayah pasca Bencana</t>
  </si>
  <si>
    <t>Pembangunan Kembali prasarana dan sarana umum</t>
  </si>
  <si>
    <t>PRIORITAS III: PENGEMBANGAN POTENSI WILAYAH</t>
  </si>
  <si>
    <t>Tata Ruang</t>
  </si>
  <si>
    <t>05</t>
  </si>
  <si>
    <t>Perencanaan detail tata ruang sesuai perda RTRW</t>
  </si>
  <si>
    <t>18 dokumen</t>
  </si>
  <si>
    <t>1 kegiatan</t>
  </si>
  <si>
    <t>4 kegiatan</t>
  </si>
  <si>
    <t>3 kegiatan</t>
  </si>
  <si>
    <t>14 kegiatan</t>
  </si>
  <si>
    <t>Bappeda</t>
  </si>
  <si>
    <t>Pemanfaatan Ruang yang sesuai dengan RTRW</t>
  </si>
  <si>
    <t>1 Kegiatan</t>
  </si>
  <si>
    <t>PRIORITAS IV : PENANGGULANGAN KEMISKINAN DAN PENGANGGURAN</t>
  </si>
  <si>
    <t>Sosial</t>
  </si>
  <si>
    <t>Meningkatnya kualitas dan produktifitas tenaga kerja</t>
  </si>
  <si>
    <t>1 Unit BLK</t>
  </si>
  <si>
    <t>Dinsosnakertrans</t>
  </si>
  <si>
    <t>Meningkatnya kesempatan kerja bagi pencari kerja</t>
  </si>
  <si>
    <t>1 Tahun</t>
  </si>
  <si>
    <t>Menigkatnya Perlindungan pengembangan lembaga ketenagakerjaan</t>
  </si>
  <si>
    <t>Meningkatnya iklim UKM yang kondusif</t>
  </si>
  <si>
    <t>1 Kali sosialisasi/ 30 UKM/ 100% pencapaian monitoring</t>
  </si>
  <si>
    <t>1 Dok Laporan/ 1 Kali sosialisasi/ 20 UKM/ 100% pencapaian monitoring</t>
  </si>
  <si>
    <t>1 Kali sosialisasi/ 15 UKM/ 100% pencapaian monitoring</t>
  </si>
  <si>
    <t>1 Dok Laporan/ 1 Kali sosialisasi/ 15 UKM/ 100% pencapaian monitoring</t>
  </si>
  <si>
    <t>Dinas Koperasi &amp; UKM</t>
  </si>
  <si>
    <t>Meningkatnya Kewirausahaan dan Keunggulan Kompetitif UKM</t>
  </si>
  <si>
    <t>1 kali sosialisasi/ 1 kali pelatihan</t>
  </si>
  <si>
    <t>20 Kelompok/ 20 Kelompok/ 10 Produk/10 Produk/ 1 kali pelatihan</t>
  </si>
  <si>
    <t>20 Kelompok/ 20 Kelompok/ 10 Produk/15 Produk/ 1 kali pelatihan/ 1 kali pelatihan</t>
  </si>
  <si>
    <t>20 Kelompok/ 20 Kelompok/ 15 Produk/15 Produk/ 1 kali pelatihan/ 1 kali pelatihan</t>
  </si>
  <si>
    <t>25 Kelompok/ 20 Kelompok/ 15 Produk/15 Produk/ 1 kali pelatihan/ 1 kali pelatihan</t>
  </si>
  <si>
    <t>Meningkatnya Sistem Pendukung usaha bagi UKM</t>
  </si>
  <si>
    <t>1 kali sosialisasi / 100% pencapaian/ 20 UKM/10 produk</t>
  </si>
  <si>
    <t>1 kali sosialisasi / 10 kali koordinasi/ 15 kali koordinasi/ 100% pencapaian pemantauan/10 produk/ 5 kali kerjasama/ 10 UKM/5 produk/1 kali promosi/1 kali promosi</t>
  </si>
  <si>
    <t>1 kali sosialisasi / 10 kali koordinasi/ 10 kali koordinasi/ 100% pencapaian pemantauan/6 produk/ 2 kali kerjasama/ 15 UKM/6 produk/1 kali promosi/1 kali promosi</t>
  </si>
  <si>
    <t>1 kali sosialisasi / 15 kali koordinasi/ 15 kali koordinasi/ 100% pencapaian pemantauan/5 produk/ 4 kali kerjasama/ 10 UKM/5 produk/1 kali promosi/1 kali promosi</t>
  </si>
  <si>
    <t>15 kali koordinasi/ 15 kali koordinasi/ 100% pencapaian pemantauan/5 produk/ 4 kali kerjasama/ 10 UKM/5 produk/1 kali promosi/1 kali promosi</t>
  </si>
  <si>
    <t>Meningkatnya kualitas Kelembagaan Koperasi</t>
  </si>
  <si>
    <t>1 kali sosialisasi/5 kali penghargaan koperasi/5 produk/1 kali promosi/1 kali promosi/1 kali promosi/3 alat peraga</t>
  </si>
  <si>
    <t>1kali pelatihan/ i kali sosialisasi/2 kali penghargaan/5 koperasi/1 kali promosi/1 kali promosi/ ikali sosialisasi/1 kali sosialisasi/ 1 kali pelatihan/ 1 kali promosi/ 1kali promosi/1 promosi/ 1 kali sosialisasi/ 1 kali keragaan</t>
  </si>
  <si>
    <t>1kali pelatihan/ 1 kali sosialisasi/3 kali penghargaan/6 koperasi/1 kali promosi/1 kali promosi/ 1 kali sosialisasi/1 kali sosialisasi/ 1 kali pelatihan/ 1 kali promosi/ 1kali promosi/1 promosi/ 1 kali sosialisasi/ 1 kali keragaan</t>
  </si>
  <si>
    <t>1kali pelatihan/ 1 kali sosialisasi/3 kali penghargaan/6 koperasi/1 kali promosi/1 kali promosi/ 1 kali sosialisasi/ 1 kali pelatihan/ 1 kali promosi/ 1kali promosi/1 promosi/ 1 kali sosialisasi/ 1 kali keragaan</t>
  </si>
  <si>
    <t>PRIORITAS V : PENINGKATAN KUALITAS PEREKONOMIAN RAHYAT DAN KETAHANAN PANGAN</t>
  </si>
  <si>
    <t>meningkatnya pengembangan pemasaran pariwisata</t>
  </si>
  <si>
    <t>Dinas Kebudayaan, Pariwisata dan Kreatif</t>
  </si>
  <si>
    <t>meningkatnya pengembangan destinasi pariwisata</t>
  </si>
  <si>
    <t>12,5%</t>
  </si>
  <si>
    <t>62,5%</t>
  </si>
  <si>
    <t>Program Pengembangan Kemitraan</t>
  </si>
  <si>
    <t>menigkatnya pengembangan kemitraan</t>
  </si>
  <si>
    <t>prosentase pengawasan terhadap kegiatan rakyat</t>
  </si>
  <si>
    <t>Luas Kawasan Hutan yang Terekonstruksi</t>
  </si>
  <si>
    <t>50 KM</t>
  </si>
  <si>
    <t>250 KM</t>
  </si>
  <si>
    <t>Persentase Penurunan Luasan Lahan Kritis</t>
  </si>
  <si>
    <t>Jumlah Usaha dibidang Kehutanan yang telah memiliki Izin</t>
  </si>
  <si>
    <t>3 shawmill</t>
  </si>
  <si>
    <t>1 shawmill</t>
  </si>
  <si>
    <t>8 shawmill</t>
  </si>
  <si>
    <t>Luas kawasan Hutan yang Teridentifikasi</t>
  </si>
  <si>
    <t>20.000 Ha</t>
  </si>
  <si>
    <t>17000 Ha</t>
  </si>
  <si>
    <t>88.000 Ha</t>
  </si>
  <si>
    <t>Program Peningkatan Iklim Investasi dan Realisasi inventasi</t>
  </si>
  <si>
    <t>Meningkatnya iklim investasi Penanaman Modal</t>
  </si>
  <si>
    <t>1 aplikasi</t>
  </si>
  <si>
    <t>1 aplikasi SPIPISE</t>
  </si>
  <si>
    <t>2 kegiatan</t>
  </si>
  <si>
    <t>KPPT</t>
  </si>
  <si>
    <t>Program Peningkatan Promosi dan kerjasama Investasi</t>
  </si>
  <si>
    <t>Meningkatnya promosi dan kerjasama investasi</t>
  </si>
  <si>
    <t xml:space="preserve">1 x pmeran dan 1400 booklet </t>
  </si>
  <si>
    <t>2 x pmeran dan 2 keg</t>
  </si>
  <si>
    <t>3 pameran 1 keg</t>
  </si>
  <si>
    <t>Meningkatnya kapasitas Suber Daya Aparatur</t>
  </si>
  <si>
    <t>7 orang</t>
  </si>
  <si>
    <t>6 orang</t>
  </si>
  <si>
    <t>20 orang</t>
  </si>
  <si>
    <t>Tersedianya SDM (Petani, PPL, Pelaku Usaha) untuk mendukung kesejahteraan masyarakat</t>
  </si>
  <si>
    <t>Tercapainya provitas komoditi unggulan</t>
  </si>
  <si>
    <t>Tersedianya PPL yang kompetensi di bidangnya</t>
  </si>
  <si>
    <t>Terlaksananya penerapan teknologi terbarukan</t>
  </si>
  <si>
    <t>Terciptanya Stabilitas Ketahanan Pangan</t>
  </si>
  <si>
    <t xml:space="preserve"> </t>
  </si>
  <si>
    <t>Program pengembangan budidaya perikanan</t>
  </si>
  <si>
    <t>peningkatan saran prasana budidaya perikanan air tawar</t>
  </si>
  <si>
    <t xml:space="preserve">pakan 2200 kg, bibit ikan 100000 kg, paket sarana untuk UPR </t>
  </si>
  <si>
    <t>pakan 25000 kg, bibit ikan 3000 kg</t>
  </si>
  <si>
    <t>pakan 2700 kg, bibit ikan1 30000 kg</t>
  </si>
  <si>
    <t>pakan 3000 kg, bibit ikan1 150000 kg</t>
  </si>
  <si>
    <t>pakan 31000 kg, bibit ikan1 3500 kg</t>
  </si>
  <si>
    <t>Jumlah Petani dan Pelaku Agribisnis yang mampu mengembangkan dan memproduksi Kopi Spesialty</t>
  </si>
  <si>
    <t xml:space="preserve">25 Orang </t>
  </si>
  <si>
    <t>100 orang yang dilatih</t>
  </si>
  <si>
    <t>Jumlah Komoditi Unggulan Wilayah yang memiliki nilai jual tinggi</t>
  </si>
  <si>
    <t>6 kali</t>
  </si>
  <si>
    <t>24 kali</t>
  </si>
  <si>
    <t>PRIORITAS VI :PENDIDIKAN, KESEHATAN DAN SOSIAL BUDAYA</t>
  </si>
  <si>
    <t>PENDIDIKAN</t>
  </si>
  <si>
    <t>15</t>
  </si>
  <si>
    <t>APK PAUD (%)</t>
  </si>
  <si>
    <t>APM PAUD (%)</t>
  </si>
  <si>
    <t>Angka Melek Hurup (%)</t>
  </si>
  <si>
    <t>16</t>
  </si>
  <si>
    <t>Program Pendidikan Dasar 9 Tahun</t>
  </si>
  <si>
    <t>APK SD (%)</t>
  </si>
  <si>
    <t>APM SD (%)</t>
  </si>
  <si>
    <t>APS SD (%)</t>
  </si>
  <si>
    <t>Angka Lulus SD (%)</t>
  </si>
  <si>
    <t>Angka Putus Sekolah SD (%)</t>
  </si>
  <si>
    <t>APK SMP (%)</t>
  </si>
  <si>
    <t>APM SMP (%)</t>
  </si>
  <si>
    <t>APS SMP (%)</t>
  </si>
  <si>
    <t>Angka Lulus SMP (%)</t>
  </si>
  <si>
    <t>Angka Putus Sekolah SMP (%)</t>
  </si>
  <si>
    <t>17</t>
  </si>
  <si>
    <t>Program Pendidikan Menengah</t>
  </si>
  <si>
    <t>APK SMA/SMK (%)</t>
  </si>
  <si>
    <t>APM SMA/SMK (%)</t>
  </si>
  <si>
    <t>APS SMA/SMK (%)</t>
  </si>
  <si>
    <t>Angka Lulus SMA/SMK (%)</t>
  </si>
  <si>
    <t>Angka Putus Sekolah SMA/SMK (%)</t>
  </si>
  <si>
    <t>18</t>
  </si>
  <si>
    <t>Program Pendidikan Non Formal</t>
  </si>
  <si>
    <t>Pembangunan Sarana dan Prasarana serta Tenaga Pendidik, Pendidikan Non Formal</t>
  </si>
  <si>
    <t>1 SKB</t>
  </si>
  <si>
    <t>3 SKB</t>
  </si>
  <si>
    <t>Program Peningkatan Mutu Pendidik dan Tenaga Kependidikan</t>
  </si>
  <si>
    <t>Meningkatnya Jumlah Guru Yang sudah bersertifikasi</t>
  </si>
  <si>
    <t>Meningkatnya kemampuan keterampilan kelompok kerja guru</t>
  </si>
  <si>
    <t>8 Kecamatan</t>
  </si>
  <si>
    <t>Meningkatnya kualitas sumber daya manusia di kabupaten empat lawang</t>
  </si>
  <si>
    <t>57 siswa</t>
  </si>
  <si>
    <t>22</t>
  </si>
  <si>
    <t>Program Manajemen Pelayanan Pendidikan</t>
  </si>
  <si>
    <t>Penerapan sistem dan informasi manajemen pendidikan</t>
  </si>
  <si>
    <t>1 Sistem</t>
  </si>
  <si>
    <t>2 Sistem</t>
  </si>
  <si>
    <t>Tercukupinya Obat untuk Pelayanan Kesehatan</t>
  </si>
  <si>
    <t>35 PKM dan Pustu</t>
  </si>
  <si>
    <t>Terbebasnya Industri Rumah Tangga dari Bahan Berbahaya</t>
  </si>
  <si>
    <t>1o kec.</t>
  </si>
  <si>
    <t>10 Kec.</t>
  </si>
  <si>
    <t>10 kec.</t>
  </si>
  <si>
    <t>Terlaksnanya PHBS  di Masyarakat</t>
  </si>
  <si>
    <t>Program Perbaikan Gizi Masyarakat</t>
  </si>
  <si>
    <t>Terlaksananya tata laksana mgizi buruk</t>
  </si>
  <si>
    <t>Program pengembangan Lingkungan Sehat</t>
  </si>
  <si>
    <t>Terciptanya Lingkungan Sehat</t>
  </si>
  <si>
    <t>Program Pencegahan dan Penanggulanagan Penyakit Menular</t>
  </si>
  <si>
    <t>Terlaksananya Penanggulangan &amp; Pencegahan  angka kesakitan</t>
  </si>
  <si>
    <t>Tersebarnya Informasi Kesehatan</t>
  </si>
  <si>
    <t>11 PKM</t>
  </si>
  <si>
    <t>Terlaksananya pelayanan kesehatan penduduk miskin</t>
  </si>
  <si>
    <t>Tersedianya fasilitas kesehatan untuk pelayanan kesehatan</t>
  </si>
  <si>
    <t>Meningkatnya Kesehatan Masyarakat</t>
  </si>
  <si>
    <t>100%</t>
  </si>
  <si>
    <t>Meningkatnya Kesehatan Usia Lanjut</t>
  </si>
  <si>
    <t xml:space="preserve">Terlaksananya Pengawasan &amp; Pengendalian bahan makanan </t>
  </si>
  <si>
    <t>Terlindunginya Keselamatan Ibu dan Anak</t>
  </si>
  <si>
    <t>9 PKM</t>
  </si>
  <si>
    <t>RUMAH SAKIT UMUM  DAERAH</t>
  </si>
  <si>
    <t>201</t>
  </si>
  <si>
    <t>222</t>
  </si>
  <si>
    <t>244</t>
  </si>
  <si>
    <t>264</t>
  </si>
  <si>
    <t>Program peningkatan kapasitas sumber daya aparatur </t>
  </si>
  <si>
    <t>Meningkatnya disiplin aparatur</t>
  </si>
  <si>
    <t>Pelatihan ACLS, PPGD, BTCLS, APN, Bimbingan teknis penetepan kelas, dan lain lain.</t>
  </si>
  <si>
    <t>Pelatihan ACLS, PPGD, BTCLS, APN, Bimbingan teknis BLUD, dan lain lain.</t>
  </si>
  <si>
    <t>Pelatihan ACLS, PPGD, BTCLS, APN,ICU dan lain-lain.</t>
  </si>
  <si>
    <t>Pelatihan ACLS, PPGD, BTCLS, APN, ICU, dan lain lain.</t>
  </si>
  <si>
    <t>Pelatihan ACLS, PPGD, BTCLS, APN, ICU dan lain lain.</t>
  </si>
  <si>
    <t>Meningkatnya program upaya kesehatan masyarakat</t>
  </si>
  <si>
    <t>19</t>
  </si>
  <si>
    <t>Program promosi kesehatan dan pemberdayaan masyarakat</t>
  </si>
  <si>
    <t>Meningkatnya Program promosi kesehatan dan pemberdayaan masyarakat</t>
  </si>
  <si>
    <t xml:space="preserve"> Baleho, lampu neon box, cetak media dan petunjuk alur  </t>
  </si>
  <si>
    <t>26</t>
  </si>
  <si>
    <t xml:space="preserve">Program pengadaan, peningkatan, sarana dan prasarana rumah sakit/rumah sakit jiwa/rumah sakit paru-paru/rumah sakit mata </t>
  </si>
  <si>
    <t xml:space="preserve">Meningkatnya Program pengadaan, peningkatan, sarana dan prasarana rumah sakit/rumah sakit jiwa/rumah sakit paru-paru/rumah sakit mata </t>
  </si>
  <si>
    <t xml:space="preserve"> 1 Paket obat, 1 paket bahan logistik RS, 1 paket pencetakan surat menyurat RS, pembangunan RS TB Tinggi, pembangunan rumah sakit tahu jamak jln poros, pembangunan IPAL</t>
  </si>
  <si>
    <t xml:space="preserve"> 1 Paket obat, 1 paket bahan logistik RS, 1 paket pencetakan surat menyurat RS,  pembangunan rumah sakit tahu jamak jln poros.</t>
  </si>
  <si>
    <t xml:space="preserve"> 1 Paket obat, 1 paket bahan logistik RS, 1 paket pencetakan surat menyurat RS, pembangunan rumah sakit tahu jamak jln poros, </t>
  </si>
  <si>
    <t xml:space="preserve"> 1 Paket obat, 1 paket bahan logistik RS, 1 paket pencetakan surat menyurat RS</t>
  </si>
  <si>
    <t>Budaya</t>
  </si>
  <si>
    <t>terkelolanya kekayaan budaya</t>
  </si>
  <si>
    <t xml:space="preserve">meningkatnya partisipasi masyarakat dalam pengelolahan kekayaan budaya </t>
  </si>
  <si>
    <t xml:space="preserve">6 kegiatan </t>
  </si>
  <si>
    <t xml:space="preserve">berkembangnya kekayaan budaya </t>
  </si>
  <si>
    <t>6 kegiatan</t>
  </si>
  <si>
    <t>Meningkatnya peran serta pemuda Kab.Empat Lawang di tingkat provinsi dan nasional</t>
  </si>
  <si>
    <t>21  org tkt prov, 2 org tkt nasional</t>
  </si>
  <si>
    <t>24  org tkt prov, 7 org tkt nasional</t>
  </si>
  <si>
    <t>26  org tkt prov, 9 org tkt nasional</t>
  </si>
  <si>
    <t>28  org tkt prov, 11 org tkt nasional</t>
  </si>
  <si>
    <t>30  org tkt prov, 12 org tkt nasional</t>
  </si>
  <si>
    <t>Meningkatnya jumlah pemuda terampil di Kab.Empat Lawang</t>
  </si>
  <si>
    <t>100 org</t>
  </si>
  <si>
    <t>50 org</t>
  </si>
  <si>
    <t>Program Pengembangan Kebijakan dan Manajemen Olahraga</t>
  </si>
  <si>
    <t>Meningkatnya Pengcab olahraga yang terbentuk dan aktif di KONI Empat Lawang</t>
  </si>
  <si>
    <t>2 Kegiatan</t>
  </si>
  <si>
    <t>Program Pembinaan dan Pemasyarakatan Olahraga</t>
  </si>
  <si>
    <t>Meningkatnya Even-Even olahraga di tingkat desa, Kec.Kab. Dan berpartisipasi di even-even tingkat provinsi</t>
  </si>
  <si>
    <t>8 kegiatan</t>
  </si>
  <si>
    <t>10 kegiatan</t>
  </si>
  <si>
    <t>11 kegiatan</t>
  </si>
  <si>
    <t>13 kegiatan</t>
  </si>
  <si>
    <t>21</t>
  </si>
  <si>
    <t>Meningkatnya jumlah sarana dan prasarana olahraga</t>
  </si>
  <si>
    <t>6 sarana</t>
  </si>
  <si>
    <t xml:space="preserve">1 tribun lap. basket   10 jenis peraltan olahraga </t>
  </si>
  <si>
    <t>1 lap. Sepak bola Kab.   3 Lap. Sepak bola Kec.</t>
  </si>
  <si>
    <t>3 Lap. Sepak bola Kec.</t>
  </si>
  <si>
    <t>2 Lap. Sepak bola Kec.    1 sarana olahraga Kab.</t>
  </si>
  <si>
    <t>2 Lap. Sepak bola Kec.    2 sarana olahraga Kab.</t>
  </si>
  <si>
    <t>Meningkatnya jumlah sarana dan prasarana Kepemudaan</t>
  </si>
  <si>
    <t>1 gedung Kab.</t>
  </si>
  <si>
    <t>500.000 (PROV), 150.000 (KAB)</t>
  </si>
  <si>
    <t>peralatan dan perlengkapan  gedung  kepemudaan</t>
  </si>
  <si>
    <t>1 gedung kec pendopo</t>
  </si>
  <si>
    <t>peralatan dan perlengkapan gedung kec.pendopo</t>
  </si>
  <si>
    <t>tingkat partisipasi masyarakat perdesaan</t>
  </si>
  <si>
    <t>10 Kec</t>
  </si>
  <si>
    <t>Pemberdayaan Masyarakat</t>
  </si>
  <si>
    <t>Program Peningkatan Peran Perempuan di Perdesaan</t>
  </si>
  <si>
    <t>tingkat partisipasi perempuan di perdesaan</t>
  </si>
  <si>
    <t>Ekososbud dan Usaha Ekonomi Masy</t>
  </si>
  <si>
    <t>Program peningkatan sarana dan prasarana pemerintah desa</t>
  </si>
  <si>
    <t>Kualitas pemerintahan desa</t>
  </si>
  <si>
    <t>156 Desa/Kel</t>
  </si>
  <si>
    <t>Pemdes/Kelurahan</t>
  </si>
  <si>
    <t>Program peningkatan Kapasitas Aparatur Pemerintah Desa</t>
  </si>
  <si>
    <t>Kualitas aparatur pemerintah desa</t>
  </si>
  <si>
    <t>Badan Keluarga Berencana Daerah</t>
  </si>
  <si>
    <t>Program Pelayanan kontrasepsi</t>
  </si>
  <si>
    <t>Terlayaninya pengguna kontrasepsi di Kab. Empat Lawang</t>
  </si>
  <si>
    <t>380 Akseptor</t>
  </si>
  <si>
    <t>400 Akseptor</t>
  </si>
  <si>
    <t>440 Akseptor</t>
  </si>
  <si>
    <t>484 Akseptor</t>
  </si>
  <si>
    <t>532 Akseptor</t>
  </si>
  <si>
    <t>485 Akseptor</t>
  </si>
  <si>
    <t>BKKBD</t>
  </si>
  <si>
    <t>Terbentuknya dan terbinanya kelompok-kelompok BKB dan UPPKS di Kab. Empat Lawang</t>
  </si>
  <si>
    <t>18 kelompok</t>
  </si>
  <si>
    <t>20 kelompok BKB</t>
  </si>
  <si>
    <t>25 kelompok BKB</t>
  </si>
  <si>
    <t>28 KEL. BKB</t>
  </si>
  <si>
    <t>30 KEL. BKB</t>
  </si>
  <si>
    <t>35 KEL. BKB</t>
  </si>
  <si>
    <t>Program peningkatan sarana dan prasarana Pelayanan Komunikasi / Informasi / Edukasi (KIE) / Advokai KB</t>
  </si>
  <si>
    <t>Tersebarnya KIE tentang Program KB di Kab. Empat Lawang</t>
  </si>
  <si>
    <t>8 Baliho di kec.</t>
  </si>
  <si>
    <t>10 baliho di kec.</t>
  </si>
  <si>
    <t>10 Baliho tentang KB</t>
  </si>
  <si>
    <t>Program Keluarga Berencana</t>
  </si>
  <si>
    <t>Meningkatkan Kinerja Petugas KB</t>
  </si>
  <si>
    <t>85 PLKB, 156 PPKB</t>
  </si>
  <si>
    <t>92 PLKB, 156 PPKBD</t>
  </si>
  <si>
    <t>156 PPKBD</t>
  </si>
  <si>
    <t>158 PPKBD</t>
  </si>
  <si>
    <t>160 PPKBD</t>
  </si>
  <si>
    <t>164 PPKBD</t>
  </si>
  <si>
    <t>Program Pembinaan Peranserta Masyarakat dalam pelayanan KB/KR yang mandiri</t>
  </si>
  <si>
    <t>Terbinanya masyarakat yang mendukung pelayanan KB Mandiri</t>
  </si>
  <si>
    <t>150 PESERTA</t>
  </si>
  <si>
    <t xml:space="preserve"> 156 PESERTA</t>
  </si>
  <si>
    <t>171 PESERTA</t>
  </si>
  <si>
    <t>188 PESERTA</t>
  </si>
  <si>
    <t>206 PESERTA</t>
  </si>
  <si>
    <t>226 PESERTA</t>
  </si>
  <si>
    <t>Program pengembangan Pusat Pelayanan Informasi dan Konseling KRR</t>
  </si>
  <si>
    <t>Tersedianya pusat konseling KRR bagi calon Akseptor</t>
  </si>
  <si>
    <t>34 KEL</t>
  </si>
  <si>
    <t>36 KEL. PIK REMAJA</t>
  </si>
  <si>
    <t>40 KEL. PIK REMAJA</t>
  </si>
  <si>
    <t>45 KEL. PIK REMAJA</t>
  </si>
  <si>
    <t>55 KEL. PIK REMAJA</t>
  </si>
  <si>
    <t>60 KEL. PIK REMAJA</t>
  </si>
  <si>
    <t>Program penyiapan tenaga pendamping kelompok BKB (Bina Keluarga Balita)</t>
  </si>
  <si>
    <t>Terbentuknya tenaga-tenaga pendamping kelompok BKB</t>
  </si>
  <si>
    <t>18 KEL.</t>
  </si>
  <si>
    <t>25 KeLompok BKB</t>
  </si>
  <si>
    <t>30 keL. BKB</t>
  </si>
  <si>
    <t>Program pengendalian Kependudukan</t>
  </si>
  <si>
    <t>Tersedianya Strategi dan Kebijakan Pengendalian Kependudukan</t>
  </si>
  <si>
    <t>330 orang</t>
  </si>
  <si>
    <t>363 orang</t>
  </si>
  <si>
    <t>399 orang</t>
  </si>
  <si>
    <t>438 orang</t>
  </si>
  <si>
    <t>Terbinanya kelompok-kelompok PIK Remaja yang ada di Kab. Empat Lawang</t>
  </si>
  <si>
    <t>10 Kelompok Pik Remaja</t>
  </si>
  <si>
    <t>12 Kelompok Pik Remaja</t>
  </si>
  <si>
    <t>14 Kelompok Pik Remaja</t>
  </si>
  <si>
    <t>16 Kelompok Pik Remaja</t>
  </si>
  <si>
    <t>Program Ketahanan dan Pemberdayaan Keluarga</t>
  </si>
  <si>
    <t>Terbinanya kelompok-kelompok UPPKS yang ada di Kab. Empat Lawang</t>
  </si>
  <si>
    <t>1 Klpk UPPKS Unggulan per kecamatan</t>
  </si>
  <si>
    <t>Program Penguatan Pelembagaan Keluarga Kecil Berkualitas</t>
  </si>
  <si>
    <t>Terlaksananya Advokasi dan KIE tentan Program KB Nasional di seluruh tingkat Kecamatan</t>
  </si>
  <si>
    <t>50 peserta</t>
  </si>
  <si>
    <t>70 peserta</t>
  </si>
  <si>
    <t>90 peserta</t>
  </si>
  <si>
    <t>120 peserta</t>
  </si>
  <si>
    <t>Adanya Kelompok, Lembaga dan Kepengurusan Gender dan Anak</t>
  </si>
  <si>
    <t>1 Lembaga PUG</t>
  </si>
  <si>
    <t>1 Lembaga PUG dan penguatan</t>
  </si>
  <si>
    <t>KANTOR PEMEBERDAYAAN PEREMPUAN DAN PERLINDUNGAN ANAK</t>
  </si>
  <si>
    <t>Adanya Kepengurusan KDRT  bekerjasama dengan Tim Organisasi Wanita</t>
  </si>
  <si>
    <t>63% Kasus KDRT Tertangani Oleh Unit Pelayanan</t>
  </si>
  <si>
    <t>Fasilitasi Organisasi Wanita</t>
  </si>
  <si>
    <t>7 Organisasi wanita aktif</t>
  </si>
  <si>
    <t>8 Organisasi wanita aktif</t>
  </si>
  <si>
    <t>9 Organisasi wanita aktif</t>
  </si>
  <si>
    <t>10 Organisasi wanita aktif</t>
  </si>
  <si>
    <t>11 Organisasi wanita aktif</t>
  </si>
  <si>
    <t>12 Organisasi wanita aktif</t>
  </si>
  <si>
    <t>13 Organisasi wanita aktif</t>
  </si>
  <si>
    <t>Program Pengembangan mental Spiritual dan Nasionalisme</t>
  </si>
  <si>
    <t>Adanya Peringatan Hari Anak Nasional</t>
  </si>
  <si>
    <t xml:space="preserve">Perpustakaan </t>
  </si>
  <si>
    <t>Program pengembangan budaya baca dan pembinaan perpustakaan</t>
  </si>
  <si>
    <t>Peningkatan budaya baca</t>
  </si>
  <si>
    <t>7 Kegiatan</t>
  </si>
  <si>
    <t>7 Kgt</t>
  </si>
  <si>
    <t>8 kgt</t>
  </si>
  <si>
    <t>Pusardok</t>
  </si>
  <si>
    <t>PRIORITAS VII : TATA KELOLA PEMERINTAHAN YANG BAIK DAN KAMTIBMAS</t>
  </si>
  <si>
    <t>Penataan Administrasi Kependudukan</t>
  </si>
  <si>
    <t>Diterbitkannya Dokumen Kependudukan dan Dokumen Catatan Sipil</t>
  </si>
  <si>
    <t>Terbitnya KTP 53.67%, Terbitnya Akta Kelahiran 10.50%, Database terangkum 12 Item data kependudukan di 10 Kecamatan.</t>
  </si>
  <si>
    <t>Terbitnya KTP 68.46%, Terbitnya Akta Kelahiran 13.81%, Database terangkum 12 Item data kependudukan di 10 Kecamatan.</t>
  </si>
  <si>
    <t>Terbitnya KTP 55.37%, Terbitnya Akta Kelahiran 17.16%, Database terangkum 12 Item data kependudukan di 10 Kecamatan.</t>
  </si>
  <si>
    <t>Terbitnya KTP 53.04%, Terbitnya Akta Kelahiran 20.47%, Database terangkum 12 Item data kependudukan di 10 Kecamatan.</t>
  </si>
  <si>
    <t>Terbitnya KTP 52.52%, Terbitnya Akta Kelahiran 23.59%, Database terangkum 12 Item data kependudukan di 10 Kecamatan.</t>
  </si>
  <si>
    <t>Terbitnya KTP 51.42%, Terbitnya Akta Kelahiran 26.66%, Database terangkum 12 Item data kependudukan di 10 Kecamatan.</t>
  </si>
  <si>
    <t>DISDUKPENCAPIL</t>
  </si>
  <si>
    <t>Terupdatenya data yang ada</t>
  </si>
  <si>
    <t>3 dokumen</t>
  </si>
  <si>
    <t>5 dokumen</t>
  </si>
  <si>
    <t>Tersedianya data yang akurat dalam penyusunan perencanaan pembangunan bid. Sosbud</t>
  </si>
  <si>
    <t xml:space="preserve">Program Pengembangan data/informasi </t>
  </si>
  <si>
    <t>Tersistemnya Informasi Pembangunan</t>
  </si>
  <si>
    <t>1 Operasi sistem aplikasi</t>
  </si>
  <si>
    <t>2 operasi aplikasi</t>
  </si>
  <si>
    <t>Pertanahan</t>
  </si>
  <si>
    <t>09</t>
  </si>
  <si>
    <t>Program Penataan penguasaan, pemilikan, penggunaan dan pemanfaatan tanah</t>
  </si>
  <si>
    <t>pensertifikat tanah aset daerah</t>
  </si>
  <si>
    <t>5 konflik</t>
  </si>
  <si>
    <t>sekretariat daerah</t>
  </si>
  <si>
    <t>Program Penyelesaian konflik-konflik pertanahan</t>
  </si>
  <si>
    <t>meningkatkan penyelesaian konflik-konflik pertanahan</t>
  </si>
  <si>
    <t>18 sertifikat/9 bidang tanah</t>
  </si>
  <si>
    <t>15 lbg</t>
  </si>
  <si>
    <t>Program pengembangan wawasan kebangsaan</t>
  </si>
  <si>
    <t>Berkembangnya wawasan masyarakat terhadap nilai-nilai luhur budaya bangsa dan nasionalisme serta patriotisme</t>
  </si>
  <si>
    <t>Program Peningkatan Sarana dan Prasarana Aparatur</t>
  </si>
  <si>
    <t>Tersedianya sarana dan prasana dalam menunjang kinerja aparatur</t>
  </si>
  <si>
    <t>Polpp</t>
  </si>
  <si>
    <t>Program Peningkatan Displin Aparatur</t>
  </si>
  <si>
    <t>Meningkatnya kinerja petugas lapangan dalam menjaga trantibum</t>
  </si>
  <si>
    <t xml:space="preserve">1131 orang
553 TPS
</t>
  </si>
  <si>
    <t xml:space="preserve">1160 Linmas
570 TPS
300 Pol PP
</t>
  </si>
  <si>
    <t xml:space="preserve">
300 Pol PP
</t>
  </si>
  <si>
    <t>Program Fasilitas Pindah / Purna Tugas PNS</t>
  </si>
  <si>
    <t xml:space="preserve">Tersedianya jasa upacara pemakaman secara kedinasan </t>
  </si>
  <si>
    <t>8 keg</t>
  </si>
  <si>
    <t>10 keg</t>
  </si>
  <si>
    <t>12 keg</t>
  </si>
  <si>
    <t>14 keg</t>
  </si>
  <si>
    <t>16 keg</t>
  </si>
  <si>
    <t>17 keg</t>
  </si>
  <si>
    <t xml:space="preserve">Terciptanya aparat yang kompeten
 dan terlatih </t>
  </si>
  <si>
    <t>300 
orang</t>
  </si>
  <si>
    <t>`4 orang</t>
  </si>
  <si>
    <t>`10
 orang</t>
  </si>
  <si>
    <t>`100
 orang</t>
  </si>
  <si>
    <t>Program Peningkatan Pengembangan Sistem Pelaporan Capaian Kinerja dan Keuangan</t>
  </si>
  <si>
    <t xml:space="preserve">Terkordinasinya Laporan  keuangan
 Satpol PP </t>
  </si>
  <si>
    <t>2 Jilid 
Dokumen</t>
  </si>
  <si>
    <t>Program Peningkatan Keamanan dan Kenyamanan Lingkungan</t>
  </si>
  <si>
    <t>Terciptanya kenyamanan dan ketentraman lingkungan</t>
  </si>
  <si>
    <t>8 Pos, 60 Linmas</t>
  </si>
  <si>
    <t>12 Pos, 72 Linmas</t>
  </si>
  <si>
    <t>20 Pos,
 80 Linmas</t>
  </si>
  <si>
    <t>Program Pemeliharaan Kantrantibmas dan Pencegahan Tindak Kriminal</t>
  </si>
  <si>
    <t>Terbentuknya Tim Gabungan (TNI,POLRI,POLPP) Pencegah tindak kriminal dan Pelatihan PolPP</t>
  </si>
  <si>
    <t>50 orang,
 8 pelatih</t>
  </si>
  <si>
    <t>70 orang,
 8 pelatih</t>
  </si>
  <si>
    <t>75 orang,
 8 pelatih</t>
  </si>
  <si>
    <t>80 orang,
 8 pelatih</t>
  </si>
  <si>
    <t>90 orang,
 8 pelatih</t>
  </si>
  <si>
    <t>120 orang,
 8 pelatih</t>
  </si>
  <si>
    <t>Terwujudnya koreksi/pengendalian intern pada objek pemeriksaan</t>
  </si>
  <si>
    <t>77 Obrik</t>
  </si>
  <si>
    <t>77 Obrik Pemeriksaan</t>
  </si>
  <si>
    <t>Sekretariat daerah</t>
  </si>
  <si>
    <t>Program Penataan Peraturan Perundang-undangan</t>
  </si>
  <si>
    <t>adanya peraturan perundang-undang kabupaten empat lawang</t>
  </si>
  <si>
    <t>4 PERKADA</t>
  </si>
  <si>
    <t>7 PERKADA</t>
  </si>
  <si>
    <t>8 PERKADA</t>
  </si>
  <si>
    <t>10 PERKADA</t>
  </si>
  <si>
    <t>12 PERKADA</t>
  </si>
  <si>
    <t>14 PERKADA</t>
  </si>
  <si>
    <t>16 PERKADA</t>
  </si>
  <si>
    <t>Program Penataan Daerah Otonomi Baru</t>
  </si>
  <si>
    <t>meningkatkan kepastian tapal batas kecamatan</t>
  </si>
  <si>
    <t>2 tugu perbatasan</t>
  </si>
  <si>
    <t>terlaksananya Pengembangan Mental dan Spritual</t>
  </si>
  <si>
    <t>Program peningkatan profesionalisme tenaga pemeriksa dan aparatur pengawasan</t>
  </si>
  <si>
    <t>meningkatnya Kwalitas SDM Aparatur Pengawasan</t>
  </si>
  <si>
    <t>10 Orang Diklat</t>
  </si>
  <si>
    <t>12 Orang Diklat</t>
  </si>
  <si>
    <t>15 Orang Diklat</t>
  </si>
  <si>
    <t>18 Orang Diklat</t>
  </si>
  <si>
    <t>20 Orang Diklat</t>
  </si>
  <si>
    <t>sekretariat dewan</t>
  </si>
  <si>
    <t>07'</t>
  </si>
  <si>
    <t>Terwujudnya sumber daya aparatur yang memiliki kompetensi dan nilai kepemimpinan</t>
  </si>
  <si>
    <t>Meningkatnya kapasitas sumber daya aparatur</t>
  </si>
  <si>
    <t>Terlaksananya pembinaan dan pengembangan aparatur</t>
  </si>
  <si>
    <t>Tersedianya Sumber Daya Aparatur yang Terlatih</t>
  </si>
  <si>
    <t>Korpri</t>
  </si>
  <si>
    <t>Terselenggaranya Pembinan Jiwa Korsa Korpri</t>
  </si>
  <si>
    <t>Meningkatnya parisipasi masyarakat dalam perencanaan pembangunan tingkat desa ddan kecamatan</t>
  </si>
  <si>
    <t>15 desa/kel</t>
  </si>
  <si>
    <t>15desa/kel</t>
  </si>
  <si>
    <t>Kec. pasemah air Keruh</t>
  </si>
  <si>
    <t>Program peningkatan pelayanan kedinasan kepala daerah dan wakil kepala daerah</t>
  </si>
  <si>
    <t>Meningkatnya pelayanan kepala daerah ke masyarakat melalui dialog audiensi</t>
  </si>
  <si>
    <t>22 desa/kel</t>
  </si>
  <si>
    <t>20.368.</t>
  </si>
  <si>
    <t>Kec.Muara Pianang</t>
  </si>
  <si>
    <t>100 % ( 16 Desa)</t>
  </si>
  <si>
    <t>16 Desa</t>
  </si>
  <si>
    <t>32 Kali</t>
  </si>
  <si>
    <t>Meningkatnya parisipasi masyarakat dalam perencanaan pembangunan tingkat desa dan kecamatan</t>
  </si>
  <si>
    <t>100% ( 19 Desa)</t>
  </si>
  <si>
    <t>19 Desa</t>
  </si>
  <si>
    <t>38 Kali</t>
  </si>
  <si>
    <t>100% ( 14 Desa)</t>
  </si>
  <si>
    <t xml:space="preserve">14 Desa </t>
  </si>
  <si>
    <t>28 Kali</t>
  </si>
  <si>
    <t>100 % ( 13 Desa)</t>
  </si>
  <si>
    <t>13 Desa</t>
  </si>
  <si>
    <t>26 desa/kel</t>
  </si>
  <si>
    <t>Kec.Tebing Tinggi</t>
  </si>
  <si>
    <t>11 Desa</t>
  </si>
  <si>
    <t>Kec. Sikap Dalam</t>
  </si>
  <si>
    <t>10 Desa</t>
  </si>
  <si>
    <t>Kec. Pendopo Barat</t>
  </si>
  <si>
    <t>Perencanaan pembangunan</t>
  </si>
  <si>
    <t>Tersusunnya Dokumen Perencanaan yang efektif dan efisien yang sesuai dengan aspirasi masyarakat</t>
  </si>
  <si>
    <t>23 dokumen</t>
  </si>
  <si>
    <t>6 dokumen</t>
  </si>
  <si>
    <t>7 dokumen</t>
  </si>
  <si>
    <t>32 dokumen</t>
  </si>
  <si>
    <t>Tersusunya dokumen perencanaan sosial ekonomi kawasan strategis</t>
  </si>
  <si>
    <t>Ditetapkannya Perbub Kawasan Strategis Cepat Tumbuh</t>
  </si>
  <si>
    <t>1 dokumen teknis dan 1 perbub</t>
  </si>
  <si>
    <t>24 dokumen</t>
  </si>
  <si>
    <t>Tersedianya data yang akurat dalam penyusunan perencanaan pembangunan bid. Ekonomi</t>
  </si>
  <si>
    <t>11 dokumen</t>
  </si>
  <si>
    <t>19 dokumen</t>
  </si>
  <si>
    <t>Hasil Perencanaan Pengembangan Kota-Kota Menengah dan Besar yang digunakan sebagai kebijakan pelaksanaan pembangunan</t>
  </si>
  <si>
    <t>Meningkatnya Kapasitas dan Kualitas Sumber Daya Aparatur</t>
  </si>
  <si>
    <t>21 org</t>
  </si>
  <si>
    <t>45 org</t>
  </si>
  <si>
    <t>Meningkatnya kapasitas kelembagaan perencanaan pembangunan daerah</t>
  </si>
  <si>
    <t>Program pengembangan kinekerja pengelolahan minum dan air limbah </t>
  </si>
  <si>
    <t>jaringan air limbah sanitasi</t>
  </si>
  <si>
    <t>sarana air minum bagi masyarakat rendah</t>
  </si>
  <si>
    <t>Pengelolaan Persampahan</t>
  </si>
  <si>
    <r>
      <t>Program</t>
    </r>
    <r>
      <rPr>
        <sz val="10"/>
        <color indexed="8"/>
        <rFont val="Tahoma"/>
        <family val="2"/>
      </rPr>
      <t xml:space="preserve"> Pengembangan Perumahan</t>
    </r>
  </si>
  <si>
    <r>
      <t>Program</t>
    </r>
    <r>
      <rPr>
        <sz val="10"/>
        <color indexed="8"/>
        <rFont val="Tahoma"/>
        <family val="2"/>
      </rPr>
      <t xml:space="preserve"> Lingkungan Sehat Perumahan</t>
    </r>
  </si>
  <si>
    <t>Lingkungan Sehat Perumahan</t>
  </si>
  <si>
    <t>Rumah Layak Huni</t>
  </si>
  <si>
    <t>Pelayanan Izin Bidang Konstruksi</t>
  </si>
  <si>
    <t>Program Pengembangan dan Pengelolaan Jaringan Irigasi, Rawa dan Jaringan Pengairan Lainnya </t>
  </si>
  <si>
    <t>Pembangunan Jaringan rigasi</t>
  </si>
  <si>
    <t>1 Kawasan</t>
  </si>
  <si>
    <t>5 Kawasan</t>
  </si>
  <si>
    <t>Pengelolaan Air Limbah</t>
  </si>
  <si>
    <t>2 Kawasan</t>
  </si>
  <si>
    <t>Tersedianya rumah yang layak huni</t>
  </si>
  <si>
    <t>Pu CK</t>
  </si>
  <si>
    <t>8,6%</t>
  </si>
  <si>
    <t>kawasan</t>
  </si>
  <si>
    <t xml:space="preserve">CK </t>
  </si>
  <si>
    <t>Program 7.1</t>
  </si>
  <si>
    <t>Tersedianya lingkungan yang sehat</t>
  </si>
  <si>
    <t>TABEL PENETAPAN INDIKATOR KINERJA UTAMA</t>
  </si>
  <si>
    <t>Indikator Kinerja</t>
  </si>
  <si>
    <t>MISI I</t>
  </si>
  <si>
    <t>MENINGKATKAN INFRASTRUKTUR DAN KELESTARIAN LINGKUNGAN HIDUP</t>
  </si>
  <si>
    <t>1.1</t>
  </si>
  <si>
    <t>Capaian</t>
  </si>
  <si>
    <t>Target</t>
  </si>
  <si>
    <t>Realisasi</t>
  </si>
  <si>
    <t>Dinas</t>
  </si>
  <si>
    <t>1.2</t>
  </si>
  <si>
    <t>Terciptanya Kelestarian Lingkungan dan SDA</t>
  </si>
  <si>
    <t>Tidak Ada Kegiatan</t>
  </si>
  <si>
    <t>Pemerintah Kabupaten Empat Lawang</t>
  </si>
  <si>
    <t>Nip. 19610818199311 1 001</t>
  </si>
  <si>
    <t>PAKET</t>
  </si>
  <si>
    <t>Tersedianya Ruang Terbuka Hijau Untuk Publik</t>
  </si>
  <si>
    <t>Persentase Rumah tangga berakses pembuangan limbah</t>
  </si>
  <si>
    <t>Tersedianya Proporsi Turap, Talud, Bronjong</t>
  </si>
  <si>
    <t xml:space="preserve">Persentase tersedianya akses jembatan sampai dengan wilayah terpencil dan terisolasi, tersedianya mobilitas, aksebilitas, kecepatan dan keselamatan pengguna jalan </t>
  </si>
  <si>
    <t>PU PR</t>
  </si>
  <si>
    <t>Tahun 2017</t>
  </si>
  <si>
    <t>Kepala Dinas PU dan Penataan Ruang</t>
  </si>
  <si>
    <t>SYARKOWI RASYID, SE, ST, MM</t>
  </si>
  <si>
    <t>DATA LAKIP PU DAN PENATAAN RUANG</t>
  </si>
  <si>
    <t>Persentase tersedianya akses jalan sampai dengan wilayah terpencil dan terisolasi, tersedianya mobilitas, aksebilitas, kecepatan dan keselamatan pengguna jalan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</si>
</sst>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3" formatCode="_(* #,##0.00_);_(* \(#,##0.00\);_(* &quot;-&quot;??_);_(@_)"/>
    <numFmt numFmtId="164" formatCode="_(&quot;Rp&quot;* #,##0_);_(&quot;Rp&quot;* \(#,##0\);_(&quot;Rp&quot;* &quot;-&quot;_);_(@_)"/>
    <numFmt numFmtId="165" formatCode="_(* #,##0_);_(* \(#,##0\);_(* &quot;-&quot;??_);_(@_)"/>
    <numFmt numFmtId="166" formatCode="_(* #,##0.00_);_(* \(#,##0.00\);_(* &quot;-&quot;_);_(@_)"/>
    <numFmt numFmtId="167" formatCode="0.0%"/>
    <numFmt numFmtId="168" formatCode="0.00000"/>
  </numFmts>
  <fonts count="6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color rgb="FF000000"/>
      <name val="Tahoma"/>
      <family val="2"/>
    </font>
    <font>
      <sz val="10"/>
      <name val="Tahoma"/>
      <family val="2"/>
    </font>
    <font>
      <sz val="12"/>
      <color theme="1"/>
      <name val="Lucida Sans"/>
      <family val="2"/>
    </font>
    <font>
      <sz val="10"/>
      <color rgb="FFFF0000"/>
      <name val="Tahoma"/>
      <family val="2"/>
    </font>
    <font>
      <sz val="11"/>
      <color rgb="FFFF0000"/>
      <name val="Calibri"/>
      <family val="2"/>
      <charset val="1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charset val="1"/>
      <scheme val="minor"/>
    </font>
    <font>
      <b/>
      <sz val="12"/>
      <color theme="1"/>
      <name val="Lucida Sans"/>
      <family val="2"/>
    </font>
    <font>
      <b/>
      <sz val="10"/>
      <name val="Tahoma"/>
      <family val="2"/>
    </font>
    <font>
      <b/>
      <sz val="10"/>
      <color theme="1"/>
      <name val="Times New Roman"/>
      <family val="1"/>
    </font>
    <font>
      <sz val="11"/>
      <color theme="1"/>
      <name val="Tahoma"/>
      <family val="2"/>
    </font>
    <font>
      <sz val="8"/>
      <name val="Tahoma"/>
      <family val="2"/>
    </font>
    <font>
      <u/>
      <sz val="10.25"/>
      <color theme="10"/>
      <name val="Calibri"/>
      <family val="2"/>
      <charset val="1"/>
    </font>
    <font>
      <sz val="10"/>
      <name val="Arial"/>
      <family val="2"/>
    </font>
    <font>
      <sz val="10"/>
      <color theme="1"/>
      <name val="Calibri"/>
      <family val="2"/>
      <charset val="1"/>
      <scheme val="minor"/>
    </font>
    <font>
      <sz val="9"/>
      <color theme="1"/>
      <name val="Tahoma"/>
      <family val="2"/>
    </font>
    <font>
      <sz val="10"/>
      <color indexed="8"/>
      <name val="Tahoma"/>
      <family val="2"/>
    </font>
    <font>
      <sz val="8"/>
      <color theme="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b/>
      <sz val="11"/>
      <color indexed="8"/>
      <name val="Tahoma"/>
      <family val="2"/>
    </font>
    <font>
      <sz val="11"/>
      <name val="Calibri"/>
      <family val="2"/>
      <charset val="1"/>
      <scheme val="minor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9"/>
      <color rgb="FFFF0000"/>
      <name val="Tahoma"/>
      <family val="2"/>
    </font>
    <font>
      <sz val="9"/>
      <name val="Tahoma"/>
      <family val="2"/>
    </font>
    <font>
      <sz val="9"/>
      <color indexed="8"/>
      <name val="Tahoma"/>
      <family val="2"/>
    </font>
    <font>
      <b/>
      <sz val="10"/>
      <color indexed="8"/>
      <name val="Tahoma"/>
      <family val="2"/>
    </font>
    <font>
      <sz val="9"/>
      <color indexed="8"/>
      <name val="Arial"/>
      <family val="2"/>
    </font>
    <font>
      <sz val="9"/>
      <color theme="1"/>
      <name val="Calibri"/>
      <family val="2"/>
      <charset val="1"/>
      <scheme val="minor"/>
    </font>
    <font>
      <b/>
      <sz val="8"/>
      <name val="Tahoma"/>
      <family val="2"/>
    </font>
    <font>
      <sz val="9"/>
      <name val="Calibri"/>
      <family val="2"/>
      <charset val="1"/>
    </font>
    <font>
      <b/>
      <sz val="9"/>
      <name val="Tahoma"/>
      <family val="2"/>
    </font>
    <font>
      <sz val="9"/>
      <name val="Calibri"/>
      <family val="2"/>
      <charset val="1"/>
      <scheme val="minor"/>
    </font>
    <font>
      <b/>
      <sz val="11"/>
      <color indexed="8"/>
      <name val="Calibri"/>
      <family val="2"/>
    </font>
    <font>
      <b/>
      <sz val="9"/>
      <color indexed="8"/>
      <name val="Tahoma"/>
      <family val="2"/>
    </font>
    <font>
      <sz val="9"/>
      <color rgb="FF7030A0"/>
      <name val="Tahoma"/>
      <family val="2"/>
    </font>
    <font>
      <sz val="9"/>
      <color indexed="10"/>
      <name val="Tahoma"/>
      <family val="2"/>
    </font>
    <font>
      <b/>
      <sz val="9"/>
      <color theme="1"/>
      <name val="Tahoma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b/>
      <sz val="9"/>
      <color rgb="FF7030A0"/>
      <name val="Tahoma"/>
      <family val="2"/>
    </font>
    <font>
      <sz val="11"/>
      <color rgb="FFFF0000"/>
      <name val="Calibri"/>
      <family val="2"/>
      <scheme val="minor"/>
    </font>
    <font>
      <sz val="12"/>
      <color rgb="FFFF0000"/>
      <name val="Lucida Sans"/>
      <family val="2"/>
    </font>
    <font>
      <sz val="12"/>
      <name val="Tahoma"/>
      <family val="2"/>
    </font>
    <font>
      <sz val="11"/>
      <name val="Calibri"/>
      <family val="2"/>
      <scheme val="minor"/>
    </font>
    <font>
      <b/>
      <sz val="10"/>
      <name val="Baskerville Old Face"/>
      <family val="1"/>
    </font>
    <font>
      <b/>
      <sz val="11"/>
      <name val="Baskerville Old Face"/>
      <family val="1"/>
    </font>
    <font>
      <sz val="10"/>
      <name val="Calibri"/>
      <family val="2"/>
      <charset val="1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Tahom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41" fontId="30" fillId="0" borderId="0" applyFont="0" applyFill="0" applyBorder="0" applyAlignment="0" applyProtection="0"/>
    <xf numFmtId="41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/>
    <xf numFmtId="9" fontId="31" fillId="0" borderId="0" applyFont="0" applyFill="0" applyBorder="0" applyAlignment="0" applyProtection="0"/>
    <xf numFmtId="0" fontId="1" fillId="0" borderId="0"/>
  </cellStyleXfs>
  <cellXfs count="1612">
    <xf numFmtId="0" fontId="0" fillId="0" borderId="0" xfId="0"/>
    <xf numFmtId="0" fontId="6" fillId="0" borderId="0" xfId="0" applyFont="1" applyAlignment="1"/>
    <xf numFmtId="0" fontId="7" fillId="0" borderId="0" xfId="0" applyFont="1"/>
    <xf numFmtId="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vertical="center" wrapText="1"/>
    </xf>
    <xf numFmtId="49" fontId="8" fillId="3" borderId="9" xfId="0" applyNumberFormat="1" applyFont="1" applyFill="1" applyBorder="1" applyAlignment="1">
      <alignment vertical="center" wrapText="1"/>
    </xf>
    <xf numFmtId="0" fontId="0" fillId="0" borderId="0" xfId="0" applyFill="1"/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/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top" wrapText="1"/>
    </xf>
    <xf numFmtId="0" fontId="11" fillId="0" borderId="7" xfId="0" applyFont="1" applyBorder="1" applyAlignment="1">
      <alignment vertical="top" wrapText="1" readingOrder="1"/>
    </xf>
    <xf numFmtId="0" fontId="7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top" wrapText="1"/>
    </xf>
    <xf numFmtId="9" fontId="7" fillId="0" borderId="2" xfId="0" quotePrefix="1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top" wrapText="1" readingOrder="1"/>
    </xf>
    <xf numFmtId="0" fontId="7" fillId="0" borderId="3" xfId="0" applyFont="1" applyFill="1" applyBorder="1" applyAlignment="1">
      <alignment vertical="top" wrapText="1"/>
    </xf>
    <xf numFmtId="9" fontId="10" fillId="0" borderId="2" xfId="0" applyNumberFormat="1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top" wrapText="1"/>
    </xf>
    <xf numFmtId="0" fontId="12" fillId="0" borderId="2" xfId="0" applyFont="1" applyFill="1" applyBorder="1"/>
    <xf numFmtId="0" fontId="13" fillId="0" borderId="0" xfId="0" applyFont="1" applyFill="1"/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justify"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7" fillId="0" borderId="0" xfId="0" applyFont="1" applyFill="1" applyBorder="1" applyAlignment="1">
      <alignment vertical="top" wrapText="1"/>
    </xf>
    <xf numFmtId="41" fontId="7" fillId="3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9" fontId="7" fillId="0" borderId="6" xfId="0" quotePrefix="1" applyNumberFormat="1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 readingOrder="1"/>
    </xf>
    <xf numFmtId="9" fontId="14" fillId="3" borderId="2" xfId="3" applyFont="1" applyFill="1" applyBorder="1" applyAlignment="1">
      <alignment horizontal="center" vertical="center" wrapText="1"/>
    </xf>
    <xf numFmtId="9" fontId="7" fillId="3" borderId="2" xfId="3" applyFont="1" applyFill="1" applyBorder="1" applyAlignment="1">
      <alignment horizontal="center" vertical="center" wrapText="1"/>
    </xf>
    <xf numFmtId="9" fontId="7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 readingOrder="1"/>
    </xf>
    <xf numFmtId="0" fontId="7" fillId="0" borderId="2" xfId="0" applyFont="1" applyFill="1" applyBorder="1" applyAlignment="1">
      <alignment vertical="top" wrapText="1" readingOrder="1"/>
    </xf>
    <xf numFmtId="0" fontId="7" fillId="3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 readingOrder="1"/>
    </xf>
    <xf numFmtId="0" fontId="7" fillId="3" borderId="2" xfId="0" applyFont="1" applyFill="1" applyBorder="1" applyAlignment="1">
      <alignment horizontal="left" vertical="top" wrapText="1" readingOrder="1"/>
    </xf>
    <xf numFmtId="0" fontId="7" fillId="3" borderId="2" xfId="0" applyFont="1" applyFill="1" applyBorder="1" applyAlignment="1">
      <alignment vertical="top" wrapText="1" readingOrder="1"/>
    </xf>
    <xf numFmtId="0" fontId="9" fillId="0" borderId="2" xfId="0" applyFont="1" applyFill="1" applyBorder="1" applyAlignment="1">
      <alignment vertical="top" wrapText="1" readingOrder="1"/>
    </xf>
    <xf numFmtId="0" fontId="7" fillId="3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top" wrapText="1" readingOrder="1"/>
    </xf>
    <xf numFmtId="0" fontId="7" fillId="0" borderId="3" xfId="0" applyFont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 readingOrder="1"/>
    </xf>
    <xf numFmtId="0" fontId="7" fillId="3" borderId="3" xfId="0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 readingOrder="1"/>
    </xf>
    <xf numFmtId="0" fontId="7" fillId="0" borderId="2" xfId="0" applyFont="1" applyBorder="1" applyAlignment="1">
      <alignment horizontal="left" vertical="top"/>
    </xf>
    <xf numFmtId="0" fontId="9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13" fillId="0" borderId="2" xfId="0" applyFont="1" applyBorder="1"/>
    <xf numFmtId="9" fontId="10" fillId="3" borderId="2" xfId="0" quotePrefix="1" applyNumberFormat="1" applyFont="1" applyFill="1" applyBorder="1" applyAlignment="1">
      <alignment horizontal="center" vertical="center" wrapText="1" readingOrder="1"/>
    </xf>
    <xf numFmtId="0" fontId="7" fillId="0" borderId="5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quotePrefix="1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0" fontId="16" fillId="0" borderId="7" xfId="0" applyFont="1" applyFill="1" applyBorder="1" applyAlignment="1">
      <alignment horizontal="left" vertical="center" wrapText="1"/>
    </xf>
    <xf numFmtId="0" fontId="7" fillId="0" borderId="2" xfId="0" quotePrefix="1" applyFont="1" applyBorder="1" applyAlignment="1">
      <alignment horizontal="left" vertical="top" wrapText="1"/>
    </xf>
    <xf numFmtId="41" fontId="7" fillId="0" borderId="2" xfId="2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1" fontId="7" fillId="0" borderId="2" xfId="0" applyNumberFormat="1" applyFont="1" applyFill="1" applyBorder="1" applyAlignment="1">
      <alignment horizontal="center" vertical="center" wrapText="1"/>
    </xf>
    <xf numFmtId="9" fontId="7" fillId="3" borderId="2" xfId="0" applyNumberFormat="1" applyFont="1" applyFill="1" applyBorder="1" applyAlignment="1">
      <alignment horizontal="center" vertical="center" wrapText="1" readingOrder="1"/>
    </xf>
    <xf numFmtId="9" fontId="10" fillId="3" borderId="2" xfId="0" applyNumberFormat="1" applyFont="1" applyFill="1" applyBorder="1" applyAlignment="1">
      <alignment horizontal="center" vertical="center" wrapText="1" readingOrder="1"/>
    </xf>
    <xf numFmtId="9" fontId="7" fillId="0" borderId="2" xfId="0" applyNumberFormat="1" applyFont="1" applyBorder="1" applyAlignment="1">
      <alignment horizontal="center" vertical="center" readingOrder="1"/>
    </xf>
    <xf numFmtId="41" fontId="10" fillId="0" borderId="2" xfId="2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10" fillId="0" borderId="2" xfId="0" applyFont="1" applyFill="1" applyBorder="1" applyAlignment="1">
      <alignment vertical="center" wrapText="1"/>
    </xf>
    <xf numFmtId="41" fontId="7" fillId="3" borderId="2" xfId="0" applyNumberFormat="1" applyFont="1" applyFill="1" applyBorder="1" applyAlignment="1">
      <alignment horizontal="center" vertical="center" wrapText="1" readingOrder="1"/>
    </xf>
    <xf numFmtId="0" fontId="14" fillId="0" borderId="9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top" wrapText="1"/>
    </xf>
    <xf numFmtId="9" fontId="7" fillId="4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9" fontId="7" fillId="0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1" fontId="7" fillId="0" borderId="2" xfId="0" applyNumberFormat="1" applyFont="1" applyBorder="1" applyAlignment="1">
      <alignment vertical="top" wrapText="1"/>
    </xf>
    <xf numFmtId="0" fontId="7" fillId="0" borderId="2" xfId="0" quotePrefix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3" borderId="2" xfId="0" applyFont="1" applyFill="1" applyBorder="1" applyAlignment="1">
      <alignment vertical="top" wrapText="1"/>
    </xf>
    <xf numFmtId="0" fontId="7" fillId="0" borderId="2" xfId="0" applyNumberFormat="1" applyFont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18" fillId="0" borderId="0" xfId="0" applyFont="1" applyBorder="1" applyAlignment="1">
      <alignment vertical="top" wrapText="1"/>
    </xf>
    <xf numFmtId="9" fontId="10" fillId="0" borderId="2" xfId="0" applyNumberFormat="1" applyFont="1" applyFill="1" applyBorder="1" applyAlignment="1">
      <alignment horizontal="center" vertical="center" wrapText="1" readingOrder="1"/>
    </xf>
    <xf numFmtId="0" fontId="7" fillId="3" borderId="2" xfId="0" applyFont="1" applyFill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left" vertical="top" wrapText="1"/>
    </xf>
    <xf numFmtId="3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/>
    <xf numFmtId="1" fontId="7" fillId="0" borderId="2" xfId="0" applyNumberFormat="1" applyFont="1" applyBorder="1" applyAlignment="1">
      <alignment horizontal="center" vertical="center"/>
    </xf>
    <xf numFmtId="0" fontId="10" fillId="0" borderId="2" xfId="4" applyFont="1" applyBorder="1" applyAlignment="1" applyProtection="1">
      <alignment horizontal="left" vertical="top" wrapText="1"/>
    </xf>
    <xf numFmtId="3" fontId="7" fillId="3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 readingOrder="1"/>
    </xf>
    <xf numFmtId="0" fontId="10" fillId="0" borderId="2" xfId="0" applyFont="1" applyBorder="1" applyAlignment="1">
      <alignment horizontal="center" vertical="center" wrapText="1" readingOrder="1"/>
    </xf>
    <xf numFmtId="9" fontId="10" fillId="0" borderId="2" xfId="0" applyNumberFormat="1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justify" vertical="top" wrapText="1"/>
    </xf>
    <xf numFmtId="9" fontId="9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top" wrapText="1"/>
    </xf>
    <xf numFmtId="10" fontId="7" fillId="0" borderId="2" xfId="0" quotePrefix="1" applyNumberFormat="1" applyFont="1" applyBorder="1" applyAlignment="1">
      <alignment horizontal="center" vertical="center"/>
    </xf>
    <xf numFmtId="10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vertical="top" wrapText="1"/>
    </xf>
    <xf numFmtId="9" fontId="10" fillId="0" borderId="2" xfId="0" applyNumberFormat="1" applyFont="1" applyBorder="1" applyAlignment="1">
      <alignment horizontal="right" vertical="center" wrapText="1" readingOrder="1"/>
    </xf>
    <xf numFmtId="0" fontId="10" fillId="0" borderId="2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vertical="top" wrapText="1" readingOrder="1"/>
    </xf>
    <xf numFmtId="0" fontId="10" fillId="3" borderId="2" xfId="2" applyNumberFormat="1" applyFont="1" applyFill="1" applyBorder="1" applyAlignment="1">
      <alignment horizontal="center" vertical="center" wrapText="1" readingOrder="1"/>
    </xf>
    <xf numFmtId="0" fontId="10" fillId="0" borderId="6" xfId="5" applyFont="1" applyFill="1" applyBorder="1" applyAlignment="1">
      <alignment vertical="top" wrapText="1" readingOrder="1"/>
    </xf>
    <xf numFmtId="0" fontId="10" fillId="0" borderId="6" xfId="2" applyNumberFormat="1" applyFont="1" applyFill="1" applyBorder="1" applyAlignment="1">
      <alignment vertical="center" wrapText="1" readingOrder="1"/>
    </xf>
    <xf numFmtId="0" fontId="10" fillId="0" borderId="6" xfId="4" applyFont="1" applyFill="1" applyBorder="1" applyAlignment="1" applyProtection="1">
      <alignment horizontal="left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left" vertical="top" wrapText="1" readingOrder="1"/>
    </xf>
    <xf numFmtId="0" fontId="10" fillId="0" borderId="6" xfId="5" applyFont="1" applyFill="1" applyBorder="1" applyAlignment="1">
      <alignment horizontal="left" vertical="top" wrapText="1" readingOrder="1"/>
    </xf>
    <xf numFmtId="0" fontId="10" fillId="0" borderId="2" xfId="0" applyFont="1" applyFill="1" applyBorder="1" applyAlignment="1">
      <alignment vertical="top" wrapText="1" readingOrder="1"/>
    </xf>
    <xf numFmtId="0" fontId="7" fillId="0" borderId="0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 readingOrder="1"/>
    </xf>
    <xf numFmtId="20" fontId="7" fillId="0" borderId="2" xfId="0" applyNumberFormat="1" applyFont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top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wrapText="1"/>
    </xf>
    <xf numFmtId="2" fontId="7" fillId="3" borderId="2" xfId="0" applyNumberFormat="1" applyFont="1" applyFill="1" applyBorder="1" applyAlignment="1">
      <alignment horizontal="center" vertical="center" wrapText="1"/>
    </xf>
    <xf numFmtId="10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top" wrapText="1"/>
    </xf>
    <xf numFmtId="0" fontId="0" fillId="0" borderId="2" xfId="0" applyBorder="1"/>
    <xf numFmtId="41" fontId="7" fillId="3" borderId="2" xfId="1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/>
    </xf>
    <xf numFmtId="0" fontId="7" fillId="0" borderId="2" xfId="0" quotePrefix="1" applyFont="1" applyBorder="1" applyAlignment="1">
      <alignment horizontal="center" vertical="center"/>
    </xf>
    <xf numFmtId="0" fontId="10" fillId="0" borderId="2" xfId="4" applyFont="1" applyFill="1" applyBorder="1" applyAlignment="1" applyProtection="1">
      <alignment horizontal="left" vertical="top" wrapText="1"/>
    </xf>
    <xf numFmtId="9" fontId="7" fillId="3" borderId="2" xfId="0" applyNumberFormat="1" applyFont="1" applyFill="1" applyBorder="1" applyAlignment="1">
      <alignment horizontal="center" vertical="center"/>
    </xf>
    <xf numFmtId="0" fontId="23" fillId="0" borderId="2" xfId="0" applyFont="1" applyBorder="1"/>
    <xf numFmtId="1" fontId="7" fillId="3" borderId="2" xfId="0" applyNumberFormat="1" applyFont="1" applyFill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7" xfId="0" quotePrefix="1" applyFont="1" applyBorder="1" applyAlignment="1">
      <alignment horizontal="left" vertical="top" wrapText="1"/>
    </xf>
    <xf numFmtId="9" fontId="7" fillId="0" borderId="7" xfId="0" quotePrefix="1" applyNumberFormat="1" applyFont="1" applyBorder="1" applyAlignment="1">
      <alignment horizontal="center" vertical="center" wrapText="1"/>
    </xf>
    <xf numFmtId="9" fontId="7" fillId="0" borderId="1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7" fillId="0" borderId="5" xfId="0" quotePrefix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 readingOrder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24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readingOrder="1"/>
    </xf>
    <xf numFmtId="0" fontId="14" fillId="3" borderId="2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horizontal="left" vertical="top" wrapText="1"/>
    </xf>
    <xf numFmtId="9" fontId="7" fillId="0" borderId="2" xfId="2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top" wrapText="1"/>
    </xf>
    <xf numFmtId="0" fontId="7" fillId="0" borderId="2" xfId="0" applyFont="1" applyBorder="1" applyAlignment="1">
      <alignment horizontal="center" vertical="top" wrapText="1" readingOrder="1"/>
    </xf>
    <xf numFmtId="41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 wrapText="1" readingOrder="1"/>
    </xf>
    <xf numFmtId="0" fontId="7" fillId="0" borderId="2" xfId="5" applyFont="1" applyBorder="1" applyAlignment="1">
      <alignment vertical="top" wrapText="1"/>
    </xf>
    <xf numFmtId="0" fontId="10" fillId="0" borderId="6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readingOrder="1"/>
    </xf>
    <xf numFmtId="43" fontId="26" fillId="0" borderId="2" xfId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 readingOrder="1"/>
    </xf>
    <xf numFmtId="49" fontId="7" fillId="3" borderId="7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 readingOrder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quotePrefix="1" applyFont="1" applyFill="1" applyBorder="1" applyAlignment="1">
      <alignment horizontal="left" vertical="top" wrapText="1" readingOrder="1"/>
    </xf>
    <xf numFmtId="0" fontId="7" fillId="0" borderId="2" xfId="0" quotePrefix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 readingOrder="1"/>
    </xf>
    <xf numFmtId="0" fontId="10" fillId="0" borderId="6" xfId="0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vertical="center" wrapText="1"/>
    </xf>
    <xf numFmtId="9" fontId="25" fillId="5" borderId="2" xfId="0" applyNumberFormat="1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left" vertical="top" wrapText="1"/>
    </xf>
    <xf numFmtId="0" fontId="25" fillId="5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left" vertical="top" wrapText="1"/>
    </xf>
    <xf numFmtId="0" fontId="7" fillId="0" borderId="6" xfId="0" quotePrefix="1" applyFont="1" applyBorder="1" applyAlignment="1">
      <alignment horizontal="center" vertical="center"/>
    </xf>
    <xf numFmtId="0" fontId="25" fillId="5" borderId="3" xfId="0" applyFont="1" applyFill="1" applyBorder="1" applyAlignment="1">
      <alignment vertical="center" wrapText="1"/>
    </xf>
    <xf numFmtId="0" fontId="25" fillId="5" borderId="7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5" borderId="2" xfId="0" applyFont="1" applyFill="1" applyBorder="1" applyAlignment="1">
      <alignment vertical="center" wrapText="1"/>
    </xf>
    <xf numFmtId="0" fontId="25" fillId="0" borderId="6" xfId="0" applyFont="1" applyFill="1" applyBorder="1" applyAlignment="1">
      <alignment vertical="top" wrapText="1"/>
    </xf>
    <xf numFmtId="0" fontId="25" fillId="0" borderId="2" xfId="0" applyFont="1" applyFill="1" applyBorder="1" applyAlignment="1">
      <alignment vertical="center" wrapText="1"/>
    </xf>
    <xf numFmtId="9" fontId="25" fillId="5" borderId="2" xfId="0" quotePrefix="1" applyNumberFormat="1" applyFont="1" applyFill="1" applyBorder="1" applyAlignment="1">
      <alignment horizontal="center" vertical="center" wrapText="1"/>
    </xf>
    <xf numFmtId="0" fontId="25" fillId="5" borderId="6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/>
    <xf numFmtId="0" fontId="4" fillId="6" borderId="0" xfId="0" applyFont="1" applyFill="1" applyBorder="1"/>
    <xf numFmtId="0" fontId="0" fillId="6" borderId="0" xfId="0" applyFill="1" applyBorder="1"/>
    <xf numFmtId="0" fontId="0" fillId="6" borderId="0" xfId="0" applyFill="1"/>
    <xf numFmtId="0" fontId="10" fillId="0" borderId="0" xfId="0" applyFont="1" applyFill="1" applyBorder="1" applyAlignment="1">
      <alignment vertical="top" wrapText="1" readingOrder="1"/>
    </xf>
    <xf numFmtId="0" fontId="10" fillId="0" borderId="0" xfId="0" applyFont="1" applyBorder="1" applyAlignment="1">
      <alignment vertical="top" wrapText="1" readingOrder="1"/>
    </xf>
    <xf numFmtId="0" fontId="10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10" fillId="0" borderId="0" xfId="0" applyFont="1" applyBorder="1" applyAlignment="1">
      <alignment horizontal="center" vertical="center" wrapText="1" readingOrder="1"/>
    </xf>
    <xf numFmtId="0" fontId="10" fillId="0" borderId="0" xfId="0" applyFont="1" applyBorder="1" applyAlignment="1">
      <alignment horizontal="left" vertical="top" wrapText="1" readingOrder="1"/>
    </xf>
    <xf numFmtId="0" fontId="10" fillId="0" borderId="0" xfId="0" quotePrefix="1" applyFont="1" applyBorder="1" applyAlignment="1">
      <alignment horizontal="left" vertical="top" wrapText="1" readingOrder="1"/>
    </xf>
    <xf numFmtId="0" fontId="22" fillId="0" borderId="2" xfId="0" applyFont="1" applyBorder="1" applyAlignment="1">
      <alignment vertical="top" wrapText="1"/>
    </xf>
    <xf numFmtId="0" fontId="22" fillId="0" borderId="2" xfId="0" applyFont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vertical="top" wrapText="1"/>
    </xf>
    <xf numFmtId="0" fontId="22" fillId="0" borderId="2" xfId="0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 readingOrder="1"/>
    </xf>
    <xf numFmtId="0" fontId="10" fillId="0" borderId="2" xfId="5" applyFont="1" applyFill="1" applyBorder="1" applyAlignment="1">
      <alignment horizontal="center" vertical="center" wrapText="1" readingOrder="1"/>
    </xf>
    <xf numFmtId="0" fontId="10" fillId="0" borderId="7" xfId="5" applyFont="1" applyFill="1" applyBorder="1" applyAlignment="1">
      <alignment horizontal="left" vertical="top" wrapText="1" readingOrder="1"/>
    </xf>
    <xf numFmtId="0" fontId="10" fillId="0" borderId="2" xfId="0" applyFont="1" applyFill="1" applyBorder="1" applyAlignment="1">
      <alignment horizontal="center" vertical="center" wrapText="1" readingOrder="1"/>
    </xf>
    <xf numFmtId="0" fontId="7" fillId="3" borderId="3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top" wrapText="1" readingOrder="1"/>
    </xf>
    <xf numFmtId="0" fontId="10" fillId="0" borderId="7" xfId="0" applyFont="1" applyFill="1" applyBorder="1" applyAlignment="1">
      <alignment horizontal="center" vertical="center" wrapText="1" readingOrder="1"/>
    </xf>
    <xf numFmtId="0" fontId="10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top" wrapText="1" readingOrder="1"/>
    </xf>
    <xf numFmtId="0" fontId="10" fillId="0" borderId="7" xfId="0" applyFont="1" applyBorder="1" applyAlignment="1">
      <alignment horizontal="center" vertical="center" wrapText="1" readingOrder="1"/>
    </xf>
    <xf numFmtId="0" fontId="10" fillId="0" borderId="4" xfId="0" applyFont="1" applyFill="1" applyBorder="1" applyAlignment="1">
      <alignment horizontal="left" vertical="top" wrapText="1" readingOrder="1"/>
    </xf>
    <xf numFmtId="0" fontId="10" fillId="0" borderId="4" xfId="0" applyFont="1" applyFill="1" applyBorder="1" applyAlignment="1">
      <alignment horizontal="center" vertical="center" wrapText="1" readingOrder="1"/>
    </xf>
    <xf numFmtId="0" fontId="10" fillId="0" borderId="4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0" fillId="0" borderId="7" xfId="5" applyFont="1" applyBorder="1" applyAlignment="1">
      <alignment horizontal="left" vertical="top" wrapText="1" readingOrder="1"/>
    </xf>
    <xf numFmtId="0" fontId="10" fillId="0" borderId="2" xfId="5" applyFont="1" applyBorder="1" applyAlignment="1">
      <alignment horizontal="center" vertical="center" wrapText="1" readingOrder="1"/>
    </xf>
    <xf numFmtId="0" fontId="10" fillId="0" borderId="2" xfId="5" applyFont="1" applyBorder="1" applyAlignment="1">
      <alignment horizontal="left" vertical="top" wrapText="1" readingOrder="1"/>
    </xf>
    <xf numFmtId="0" fontId="10" fillId="0" borderId="2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vertical="top" wrapText="1"/>
    </xf>
    <xf numFmtId="0" fontId="12" fillId="0" borderId="2" xfId="0" applyFont="1" applyBorder="1"/>
    <xf numFmtId="0" fontId="7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9" fontId="7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5" applyFont="1" applyFill="1" applyBorder="1" applyAlignment="1">
      <alignment horizontal="left" vertical="top" wrapText="1" readingOrder="1"/>
    </xf>
    <xf numFmtId="0" fontId="10" fillId="3" borderId="2" xfId="2" applyNumberFormat="1" applyFont="1" applyFill="1" applyBorder="1" applyAlignment="1">
      <alignment horizontal="center" vertical="center" wrapText="1" readingOrder="1"/>
    </xf>
    <xf numFmtId="0" fontId="7" fillId="0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7" fillId="0" borderId="2" xfId="0" applyFont="1" applyBorder="1"/>
    <xf numFmtId="0" fontId="10" fillId="0" borderId="2" xfId="0" applyFont="1" applyBorder="1" applyAlignment="1">
      <alignment horizontal="left" vertical="top" wrapText="1" readingOrder="1"/>
    </xf>
    <xf numFmtId="0" fontId="7" fillId="3" borderId="3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 readingOrder="1"/>
    </xf>
    <xf numFmtId="0" fontId="10" fillId="0" borderId="2" xfId="0" applyFont="1" applyBorder="1" applyAlignment="1">
      <alignment horizontal="left" vertical="top" wrapText="1"/>
    </xf>
    <xf numFmtId="0" fontId="7" fillId="3" borderId="0" xfId="0" applyFont="1" applyFill="1"/>
    <xf numFmtId="0" fontId="8" fillId="0" borderId="0" xfId="0" applyFont="1" applyAlignment="1">
      <alignment horizontal="center" vertical="top" wrapText="1"/>
    </xf>
    <xf numFmtId="0" fontId="7" fillId="3" borderId="0" xfId="0" applyFont="1" applyFill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top" wrapText="1"/>
    </xf>
    <xf numFmtId="0" fontId="7" fillId="3" borderId="6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vertical="top" wrapText="1"/>
    </xf>
    <xf numFmtId="0" fontId="7" fillId="3" borderId="7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9" fontId="7" fillId="0" borderId="7" xfId="0" applyNumberFormat="1" applyFont="1" applyFill="1" applyBorder="1" applyAlignment="1">
      <alignment vertical="center"/>
    </xf>
    <xf numFmtId="9" fontId="7" fillId="0" borderId="7" xfId="0" applyNumberFormat="1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9" fontId="7" fillId="0" borderId="6" xfId="0" applyNumberFormat="1" applyFont="1" applyFill="1" applyBorder="1" applyAlignment="1">
      <alignment vertical="center"/>
    </xf>
    <xf numFmtId="9" fontId="7" fillId="0" borderId="6" xfId="0" applyNumberFormat="1" applyFont="1" applyFill="1" applyBorder="1" applyAlignment="1">
      <alignment vertical="center" wrapText="1"/>
    </xf>
    <xf numFmtId="0" fontId="0" fillId="0" borderId="2" xfId="0" applyBorder="1" applyAlignment="1">
      <alignment vertical="top" wrapText="1"/>
    </xf>
    <xf numFmtId="10" fontId="7" fillId="3" borderId="2" xfId="3" applyNumberFormat="1" applyFont="1" applyFill="1" applyBorder="1" applyAlignment="1">
      <alignment horizontal="center" vertical="center"/>
    </xf>
    <xf numFmtId="0" fontId="9" fillId="7" borderId="2" xfId="0" applyFont="1" applyFill="1" applyBorder="1" applyAlignment="1">
      <alignment vertical="top" wrapText="1"/>
    </xf>
    <xf numFmtId="0" fontId="7" fillId="7" borderId="2" xfId="0" applyFont="1" applyFill="1" applyBorder="1" applyAlignment="1">
      <alignment horizontal="left" vertical="top" wrapText="1"/>
    </xf>
    <xf numFmtId="0" fontId="10" fillId="7" borderId="2" xfId="0" applyFont="1" applyFill="1" applyBorder="1" applyAlignment="1">
      <alignment horizontal="left" vertical="top" wrapText="1"/>
    </xf>
    <xf numFmtId="0" fontId="7" fillId="7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left" vertical="top"/>
    </xf>
    <xf numFmtId="0" fontId="0" fillId="7" borderId="0" xfId="0" applyFill="1"/>
    <xf numFmtId="0" fontId="7" fillId="3" borderId="2" xfId="0" applyFont="1" applyFill="1" applyBorder="1" applyAlignment="1">
      <alignment horizontal="left" vertical="top"/>
    </xf>
    <xf numFmtId="0" fontId="7" fillId="7" borderId="2" xfId="0" quotePrefix="1" applyFont="1" applyFill="1" applyBorder="1" applyAlignment="1">
      <alignment horizontal="center" vertical="center"/>
    </xf>
    <xf numFmtId="0" fontId="23" fillId="0" borderId="2" xfId="0" applyFont="1" applyBorder="1" applyAlignment="1">
      <alignment vertical="top" wrapText="1"/>
    </xf>
    <xf numFmtId="9" fontId="7" fillId="7" borderId="2" xfId="0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0" fontId="10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left" vertical="top" readingOrder="1"/>
    </xf>
    <xf numFmtId="0" fontId="10" fillId="3" borderId="6" xfId="0" applyFont="1" applyFill="1" applyBorder="1" applyAlignment="1">
      <alignment vertical="top" wrapText="1"/>
    </xf>
    <xf numFmtId="0" fontId="10" fillId="0" borderId="3" xfId="0" applyFont="1" applyBorder="1" applyAlignment="1">
      <alignment vertical="top" wrapText="1" readingOrder="1"/>
    </xf>
    <xf numFmtId="0" fontId="10" fillId="0" borderId="6" xfId="0" applyFont="1" applyBorder="1" applyAlignment="1">
      <alignment vertical="top" wrapText="1" readingOrder="1"/>
    </xf>
    <xf numFmtId="0" fontId="7" fillId="7" borderId="2" xfId="0" applyFont="1" applyFill="1" applyBorder="1" applyAlignment="1">
      <alignment vertical="top" wrapText="1"/>
    </xf>
    <xf numFmtId="0" fontId="25" fillId="7" borderId="2" xfId="0" applyFont="1" applyFill="1" applyBorder="1" applyAlignment="1">
      <alignment horizontal="left" vertical="top" wrapText="1"/>
    </xf>
    <xf numFmtId="9" fontId="7" fillId="7" borderId="2" xfId="2" applyNumberFormat="1" applyFont="1" applyFill="1" applyBorder="1" applyAlignment="1">
      <alignment horizontal="center" vertical="center"/>
    </xf>
    <xf numFmtId="9" fontId="7" fillId="7" borderId="2" xfId="0" applyNumberFormat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vertical="center" wrapText="1"/>
    </xf>
    <xf numFmtId="0" fontId="0" fillId="7" borderId="2" xfId="0" applyFill="1" applyBorder="1"/>
    <xf numFmtId="0" fontId="0" fillId="3" borderId="2" xfId="0" applyFill="1" applyBorder="1"/>
    <xf numFmtId="0" fontId="25" fillId="7" borderId="2" xfId="0" applyFont="1" applyFill="1" applyBorder="1" applyAlignment="1">
      <alignment vertical="top" wrapText="1"/>
    </xf>
    <xf numFmtId="9" fontId="7" fillId="0" borderId="3" xfId="0" applyNumberFormat="1" applyFont="1" applyBorder="1" applyAlignment="1">
      <alignment horizontal="center" vertical="center"/>
    </xf>
    <xf numFmtId="0" fontId="9" fillId="8" borderId="2" xfId="0" applyFont="1" applyFill="1" applyBorder="1" applyAlignment="1">
      <alignment horizontal="center" wrapText="1"/>
    </xf>
    <xf numFmtId="0" fontId="29" fillId="0" borderId="2" xfId="0" applyFont="1" applyBorder="1" applyAlignment="1">
      <alignment horizontal="center"/>
    </xf>
    <xf numFmtId="0" fontId="29" fillId="0" borderId="2" xfId="0" applyFont="1" applyBorder="1"/>
    <xf numFmtId="9" fontId="7" fillId="0" borderId="2" xfId="0" applyNumberFormat="1" applyFont="1" applyBorder="1" applyAlignment="1">
      <alignment horizontal="left" vertical="top"/>
    </xf>
    <xf numFmtId="0" fontId="0" fillId="3" borderId="0" xfId="0" applyFill="1"/>
    <xf numFmtId="0" fontId="10" fillId="3" borderId="3" xfId="0" applyFont="1" applyFill="1" applyBorder="1" applyAlignment="1">
      <alignment horizontal="left" vertical="top" wrapText="1" readingOrder="1"/>
    </xf>
    <xf numFmtId="0" fontId="25" fillId="3" borderId="2" xfId="0" applyFont="1" applyFill="1" applyBorder="1" applyAlignment="1">
      <alignment vertical="top" wrapText="1"/>
    </xf>
    <xf numFmtId="0" fontId="25" fillId="5" borderId="3" xfId="0" applyFont="1" applyFill="1" applyBorder="1" applyAlignment="1">
      <alignment vertical="top" wrapText="1"/>
    </xf>
    <xf numFmtId="0" fontId="25" fillId="5" borderId="7" xfId="0" applyFont="1" applyFill="1" applyBorder="1" applyAlignment="1">
      <alignment vertical="top" wrapText="1"/>
    </xf>
    <xf numFmtId="0" fontId="25" fillId="5" borderId="2" xfId="0" applyFont="1" applyFill="1" applyBorder="1" applyAlignment="1">
      <alignment vertical="top" wrapText="1"/>
    </xf>
    <xf numFmtId="0" fontId="25" fillId="3" borderId="6" xfId="0" applyFont="1" applyFill="1" applyBorder="1" applyAlignment="1">
      <alignment vertical="top" wrapText="1"/>
    </xf>
    <xf numFmtId="0" fontId="25" fillId="3" borderId="2" xfId="0" applyFont="1" applyFill="1" applyBorder="1" applyAlignment="1">
      <alignment vertical="center" wrapText="1"/>
    </xf>
    <xf numFmtId="0" fontId="25" fillId="5" borderId="6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left" vertical="top"/>
    </xf>
    <xf numFmtId="0" fontId="0" fillId="3" borderId="0" xfId="0" applyFill="1" applyBorder="1"/>
    <xf numFmtId="0" fontId="0" fillId="0" borderId="0" xfId="0" applyBorder="1" applyAlignment="1">
      <alignment vertical="top" wrapText="1"/>
    </xf>
    <xf numFmtId="0" fontId="0" fillId="6" borderId="0" xfId="0" applyFill="1" applyBorder="1" applyAlignment="1">
      <alignment vertical="top" wrapText="1"/>
    </xf>
    <xf numFmtId="0" fontId="10" fillId="3" borderId="0" xfId="0" applyFont="1" applyFill="1" applyBorder="1" applyAlignment="1">
      <alignment vertical="top" wrapText="1" readingOrder="1"/>
    </xf>
    <xf numFmtId="0" fontId="9" fillId="3" borderId="2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 readingOrder="1"/>
    </xf>
    <xf numFmtId="0" fontId="7" fillId="0" borderId="0" xfId="0" applyFont="1" applyAlignment="1">
      <alignment vertical="top" wrapText="1"/>
    </xf>
    <xf numFmtId="0" fontId="1" fillId="0" borderId="0" xfId="13"/>
    <xf numFmtId="0" fontId="33" fillId="0" borderId="0" xfId="13" applyFont="1" applyBorder="1" applyAlignment="1">
      <alignment horizontal="center"/>
    </xf>
    <xf numFmtId="0" fontId="1" fillId="0" borderId="0" xfId="13" applyBorder="1" applyAlignment="1">
      <alignment horizontal="center" vertical="top" wrapText="1"/>
    </xf>
    <xf numFmtId="0" fontId="1" fillId="0" borderId="0" xfId="13" applyBorder="1" applyAlignment="1">
      <alignment horizontal="center"/>
    </xf>
    <xf numFmtId="0" fontId="1" fillId="0" borderId="1" xfId="13" applyBorder="1" applyAlignment="1">
      <alignment horizontal="center" vertical="top" wrapText="1"/>
    </xf>
    <xf numFmtId="0" fontId="1" fillId="0" borderId="1" xfId="13" applyBorder="1" applyAlignment="1">
      <alignment horizontal="center"/>
    </xf>
    <xf numFmtId="0" fontId="34" fillId="9" borderId="2" xfId="13" applyFont="1" applyFill="1" applyBorder="1" applyAlignment="1">
      <alignment horizontal="center" vertical="center" wrapText="1"/>
    </xf>
    <xf numFmtId="165" fontId="34" fillId="9" borderId="2" xfId="10" applyNumberFormat="1" applyFont="1" applyFill="1" applyBorder="1" applyAlignment="1">
      <alignment horizontal="center" vertical="center" wrapText="1"/>
    </xf>
    <xf numFmtId="49" fontId="35" fillId="9" borderId="2" xfId="13" applyNumberFormat="1" applyFont="1" applyFill="1" applyBorder="1" applyAlignment="1">
      <alignment horizontal="center" vertical="top" wrapText="1"/>
    </xf>
    <xf numFmtId="49" fontId="35" fillId="9" borderId="2" xfId="13" applyNumberFormat="1" applyFont="1" applyFill="1" applyBorder="1" applyAlignment="1">
      <alignment horizontal="center" vertical="center" wrapText="1"/>
    </xf>
    <xf numFmtId="49" fontId="35" fillId="9" borderId="19" xfId="13" applyNumberFormat="1" applyFont="1" applyFill="1" applyBorder="1" applyAlignment="1">
      <alignment horizontal="center" vertical="top" wrapText="1"/>
    </xf>
    <xf numFmtId="49" fontId="35" fillId="9" borderId="19" xfId="13" applyNumberFormat="1" applyFont="1" applyFill="1" applyBorder="1" applyAlignment="1">
      <alignment horizontal="center" vertical="center" wrapText="1"/>
    </xf>
    <xf numFmtId="165" fontId="35" fillId="9" borderId="19" xfId="10" applyNumberFormat="1" applyFont="1" applyFill="1" applyBorder="1" applyAlignment="1">
      <alignment horizontal="center" vertical="center" wrapText="1"/>
    </xf>
    <xf numFmtId="0" fontId="36" fillId="6" borderId="7" xfId="13" applyFont="1" applyFill="1" applyBorder="1" applyAlignment="1">
      <alignment vertical="top" wrapText="1"/>
    </xf>
    <xf numFmtId="0" fontId="36" fillId="6" borderId="7" xfId="13" applyFont="1" applyFill="1" applyBorder="1" applyAlignment="1">
      <alignment vertical="center"/>
    </xf>
    <xf numFmtId="41" fontId="36" fillId="6" borderId="7" xfId="13" applyNumberFormat="1" applyFont="1" applyFill="1" applyBorder="1" applyAlignment="1">
      <alignment vertical="center"/>
    </xf>
    <xf numFmtId="165" fontId="36" fillId="6" borderId="7" xfId="10" applyNumberFormat="1" applyFont="1" applyFill="1" applyBorder="1" applyAlignment="1">
      <alignment vertical="center"/>
    </xf>
    <xf numFmtId="0" fontId="13" fillId="6" borderId="0" xfId="13" applyFont="1" applyFill="1"/>
    <xf numFmtId="0" fontId="37" fillId="0" borderId="2" xfId="13" quotePrefix="1" applyFont="1" applyFill="1" applyBorder="1" applyAlignment="1">
      <alignment horizontal="center" vertical="center" wrapText="1"/>
    </xf>
    <xf numFmtId="0" fontId="37" fillId="0" borderId="2" xfId="13" applyFont="1" applyFill="1" applyBorder="1" applyAlignment="1">
      <alignment horizontal="center" vertical="center" wrapText="1"/>
    </xf>
    <xf numFmtId="0" fontId="37" fillId="0" borderId="2" xfId="13" applyFont="1" applyFill="1" applyBorder="1"/>
    <xf numFmtId="0" fontId="38" fillId="0" borderId="2" xfId="13" applyFont="1" applyFill="1" applyBorder="1" applyAlignment="1">
      <alignment vertical="center" wrapText="1"/>
    </xf>
    <xf numFmtId="0" fontId="38" fillId="0" borderId="4" xfId="13" applyFont="1" applyFill="1" applyBorder="1" applyAlignment="1">
      <alignment vertical="top" wrapText="1"/>
    </xf>
    <xf numFmtId="9" fontId="38" fillId="0" borderId="2" xfId="7" applyNumberFormat="1" applyFont="1" applyFill="1" applyBorder="1" applyAlignment="1">
      <alignment horizontal="center" vertical="center" wrapText="1"/>
    </xf>
    <xf numFmtId="0" fontId="38" fillId="0" borderId="2" xfId="13" applyFont="1" applyFill="1" applyBorder="1" applyAlignment="1">
      <alignment horizontal="center" vertical="center" wrapText="1"/>
    </xf>
    <xf numFmtId="41" fontId="38" fillId="0" borderId="2" xfId="7" applyFont="1" applyFill="1" applyBorder="1" applyAlignment="1">
      <alignment horizontal="center" vertical="center" wrapText="1"/>
    </xf>
    <xf numFmtId="0" fontId="38" fillId="0" borderId="2" xfId="13" applyFont="1" applyFill="1" applyBorder="1" applyAlignment="1">
      <alignment horizontal="center" vertical="top" wrapText="1"/>
    </xf>
    <xf numFmtId="0" fontId="1" fillId="0" borderId="0" xfId="13" applyFill="1"/>
    <xf numFmtId="0" fontId="38" fillId="0" borderId="2" xfId="13" applyFont="1" applyFill="1" applyBorder="1" applyAlignment="1">
      <alignment vertical="top" wrapText="1"/>
    </xf>
    <xf numFmtId="9" fontId="38" fillId="0" borderId="2" xfId="7" applyNumberFormat="1" applyFont="1" applyFill="1" applyBorder="1" applyAlignment="1">
      <alignment horizontal="center" vertical="top" wrapText="1"/>
    </xf>
    <xf numFmtId="41" fontId="38" fillId="0" borderId="7" xfId="7" applyFont="1" applyFill="1" applyBorder="1" applyAlignment="1">
      <alignment horizontal="center" vertical="center" wrapText="1"/>
    </xf>
    <xf numFmtId="41" fontId="38" fillId="0" borderId="2" xfId="7" quotePrefix="1" applyFont="1" applyFill="1" applyBorder="1" applyAlignment="1">
      <alignment horizontal="center" vertical="top" wrapText="1"/>
    </xf>
    <xf numFmtId="41" fontId="38" fillId="0" borderId="2" xfId="7" quotePrefix="1" applyFont="1" applyFill="1" applyBorder="1" applyAlignment="1">
      <alignment horizontal="center" vertical="center" wrapText="1"/>
    </xf>
    <xf numFmtId="0" fontId="38" fillId="0" borderId="2" xfId="13" applyFont="1" applyFill="1" applyBorder="1" applyAlignment="1">
      <alignment horizontal="right" vertical="center" wrapText="1"/>
    </xf>
    <xf numFmtId="41" fontId="38" fillId="0" borderId="2" xfId="7" applyFont="1" applyFill="1" applyBorder="1" applyAlignment="1">
      <alignment horizontal="center" vertical="top" wrapText="1"/>
    </xf>
    <xf numFmtId="0" fontId="37" fillId="3" borderId="2" xfId="13" quotePrefix="1" applyFont="1" applyFill="1" applyBorder="1" applyAlignment="1">
      <alignment horizontal="center" vertical="center" wrapText="1"/>
    </xf>
    <xf numFmtId="0" fontId="37" fillId="3" borderId="2" xfId="13" applyFont="1" applyFill="1" applyBorder="1" applyAlignment="1">
      <alignment horizontal="center" vertical="center" wrapText="1"/>
    </xf>
    <xf numFmtId="0" fontId="37" fillId="3" borderId="2" xfId="13" applyFont="1" applyFill="1" applyBorder="1"/>
    <xf numFmtId="0" fontId="38" fillId="3" borderId="2" xfId="13" applyFont="1" applyFill="1" applyBorder="1" applyAlignment="1">
      <alignment vertical="top" wrapText="1"/>
    </xf>
    <xf numFmtId="0" fontId="38" fillId="3" borderId="4" xfId="13" applyFont="1" applyFill="1" applyBorder="1" applyAlignment="1">
      <alignment vertical="top" wrapText="1"/>
    </xf>
    <xf numFmtId="9" fontId="38" fillId="3" borderId="2" xfId="7" applyNumberFormat="1" applyFont="1" applyFill="1" applyBorder="1" applyAlignment="1">
      <alignment horizontal="center" vertical="top" wrapText="1"/>
    </xf>
    <xf numFmtId="0" fontId="38" fillId="3" borderId="2" xfId="13" applyFont="1" applyFill="1" applyBorder="1" applyAlignment="1">
      <alignment horizontal="center" vertical="center" wrapText="1"/>
    </xf>
    <xf numFmtId="41" fontId="38" fillId="3" borderId="2" xfId="7" applyFont="1" applyFill="1" applyBorder="1" applyAlignment="1">
      <alignment horizontal="center" vertical="center" wrapText="1"/>
    </xf>
    <xf numFmtId="0" fontId="38" fillId="3" borderId="2" xfId="13" applyFont="1" applyFill="1" applyBorder="1" applyAlignment="1">
      <alignment horizontal="center" vertical="top" wrapText="1"/>
    </xf>
    <xf numFmtId="0" fontId="1" fillId="3" borderId="0" xfId="13" applyFill="1"/>
    <xf numFmtId="0" fontId="10" fillId="10" borderId="10" xfId="13" applyFont="1" applyFill="1" applyBorder="1" applyAlignment="1">
      <alignment vertical="center"/>
    </xf>
    <xf numFmtId="0" fontId="10" fillId="10" borderId="17" xfId="13" applyFont="1" applyFill="1" applyBorder="1" applyAlignment="1">
      <alignment vertical="center"/>
    </xf>
    <xf numFmtId="0" fontId="39" fillId="10" borderId="11" xfId="13" applyFont="1" applyFill="1" applyBorder="1" applyAlignment="1">
      <alignment vertical="top" wrapText="1"/>
    </xf>
    <xf numFmtId="0" fontId="38" fillId="10" borderId="3" xfId="13" applyFont="1" applyFill="1" applyBorder="1" applyAlignment="1">
      <alignment vertical="top" wrapText="1"/>
    </xf>
    <xf numFmtId="0" fontId="38" fillId="10" borderId="3" xfId="13" applyFont="1" applyFill="1" applyBorder="1"/>
    <xf numFmtId="41" fontId="38" fillId="10" borderId="3" xfId="13" applyNumberFormat="1" applyFont="1" applyFill="1" applyBorder="1"/>
    <xf numFmtId="43" fontId="38" fillId="0" borderId="2" xfId="7" applyNumberFormat="1" applyFont="1" applyFill="1" applyBorder="1" applyAlignment="1">
      <alignment horizontal="center" vertical="center" wrapText="1"/>
    </xf>
    <xf numFmtId="0" fontId="1" fillId="0" borderId="2" xfId="13" applyFill="1" applyBorder="1"/>
    <xf numFmtId="9" fontId="38" fillId="3" borderId="2" xfId="13" applyNumberFormat="1" applyFont="1" applyFill="1" applyBorder="1" applyAlignment="1">
      <alignment horizontal="center" vertical="center" wrapText="1"/>
    </xf>
    <xf numFmtId="43" fontId="38" fillId="3" borderId="2" xfId="7" applyNumberFormat="1" applyFont="1" applyFill="1" applyBorder="1" applyAlignment="1">
      <alignment horizontal="center" vertical="center" wrapText="1"/>
    </xf>
    <xf numFmtId="0" fontId="1" fillId="3" borderId="2" xfId="13" applyFill="1" applyBorder="1"/>
    <xf numFmtId="0" fontId="38" fillId="3" borderId="2" xfId="13" quotePrefix="1" applyFont="1" applyFill="1" applyBorder="1" applyAlignment="1">
      <alignment horizontal="center" vertical="top" wrapText="1"/>
    </xf>
    <xf numFmtId="4" fontId="38" fillId="3" borderId="2" xfId="13" applyNumberFormat="1" applyFont="1" applyFill="1" applyBorder="1" applyAlignment="1">
      <alignment horizontal="center" vertical="center" wrapText="1"/>
    </xf>
    <xf numFmtId="0" fontId="38" fillId="3" borderId="2" xfId="13" quotePrefix="1" applyFont="1" applyFill="1" applyBorder="1" applyAlignment="1">
      <alignment horizontal="center" vertical="center" wrapText="1"/>
    </xf>
    <xf numFmtId="41" fontId="38" fillId="3" borderId="2" xfId="7" quotePrefix="1" applyFont="1" applyFill="1" applyBorder="1" applyAlignment="1">
      <alignment horizontal="center" vertical="center" wrapText="1"/>
    </xf>
    <xf numFmtId="0" fontId="37" fillId="0" borderId="2" xfId="13" quotePrefix="1" applyFont="1" applyFill="1" applyBorder="1" applyAlignment="1">
      <alignment vertical="center" wrapText="1"/>
    </xf>
    <xf numFmtId="4" fontId="38" fillId="0" borderId="2" xfId="13" applyNumberFormat="1" applyFont="1" applyFill="1" applyBorder="1" applyAlignment="1">
      <alignment horizontal="center" vertical="center" wrapText="1"/>
    </xf>
    <xf numFmtId="0" fontId="10" fillId="10" borderId="8" xfId="13" applyFont="1" applyFill="1" applyBorder="1" applyAlignment="1">
      <alignment vertical="center"/>
    </xf>
    <xf numFmtId="0" fontId="10" fillId="10" borderId="5" xfId="13" applyFont="1" applyFill="1" applyBorder="1" applyAlignment="1">
      <alignment vertical="center"/>
    </xf>
    <xf numFmtId="0" fontId="38" fillId="10" borderId="2" xfId="13" applyFont="1" applyFill="1" applyBorder="1" applyAlignment="1">
      <alignment horizontal="right" vertical="top" wrapText="1"/>
    </xf>
    <xf numFmtId="0" fontId="38" fillId="10" borderId="2" xfId="13" applyFont="1" applyFill="1" applyBorder="1" applyAlignment="1">
      <alignment vertical="top" wrapText="1"/>
    </xf>
    <xf numFmtId="0" fontId="38" fillId="10" borderId="2" xfId="13" applyFont="1" applyFill="1" applyBorder="1"/>
    <xf numFmtId="41" fontId="38" fillId="10" borderId="2" xfId="13" applyNumberFormat="1" applyFont="1" applyFill="1" applyBorder="1"/>
    <xf numFmtId="0" fontId="38" fillId="0" borderId="2" xfId="13" quotePrefix="1" applyFont="1" applyFill="1" applyBorder="1" applyAlignment="1">
      <alignment horizontal="center" vertical="top" wrapText="1"/>
    </xf>
    <xf numFmtId="0" fontId="38" fillId="0" borderId="2" xfId="13" quotePrefix="1" applyFont="1" applyFill="1" applyBorder="1" applyAlignment="1">
      <alignment horizontal="center" vertical="center" wrapText="1"/>
    </xf>
    <xf numFmtId="0" fontId="38" fillId="10" borderId="6" xfId="13" applyFont="1" applyFill="1" applyBorder="1" applyAlignment="1">
      <alignment vertical="top" wrapText="1"/>
    </xf>
    <xf numFmtId="0" fontId="38" fillId="10" borderId="6" xfId="13" applyFont="1" applyFill="1" applyBorder="1"/>
    <xf numFmtId="41" fontId="38" fillId="10" borderId="6" xfId="13" applyNumberFormat="1" applyFont="1" applyFill="1" applyBorder="1"/>
    <xf numFmtId="0" fontId="10" fillId="10" borderId="20" xfId="13" applyFont="1" applyFill="1" applyBorder="1" applyAlignment="1">
      <alignment vertical="center"/>
    </xf>
    <xf numFmtId="0" fontId="10" fillId="10" borderId="1" xfId="13" applyFont="1" applyFill="1" applyBorder="1" applyAlignment="1">
      <alignment vertical="center"/>
    </xf>
    <xf numFmtId="0" fontId="38" fillId="10" borderId="6" xfId="13" applyFont="1" applyFill="1" applyBorder="1" applyAlignment="1">
      <alignment horizontal="left" vertical="top" wrapText="1"/>
    </xf>
    <xf numFmtId="0" fontId="10" fillId="5" borderId="4" xfId="13" applyFont="1" applyFill="1" applyBorder="1" applyAlignment="1">
      <alignment vertical="center"/>
    </xf>
    <xf numFmtId="0" fontId="10" fillId="5" borderId="8" xfId="13" applyFont="1" applyFill="1" applyBorder="1" applyAlignment="1">
      <alignment vertical="center"/>
    </xf>
    <xf numFmtId="0" fontId="10" fillId="5" borderId="5" xfId="13" applyFont="1" applyFill="1" applyBorder="1" applyAlignment="1">
      <alignment vertical="center"/>
    </xf>
    <xf numFmtId="0" fontId="38" fillId="5" borderId="2" xfId="13" applyFont="1" applyFill="1" applyBorder="1" applyAlignment="1">
      <alignment horizontal="left" vertical="top" wrapText="1"/>
    </xf>
    <xf numFmtId="0" fontId="38" fillId="5" borderId="2" xfId="13" applyFont="1" applyFill="1" applyBorder="1" applyAlignment="1">
      <alignment vertical="top" wrapText="1"/>
    </xf>
    <xf numFmtId="0" fontId="38" fillId="5" borderId="2" xfId="13" applyFont="1" applyFill="1" applyBorder="1"/>
    <xf numFmtId="41" fontId="38" fillId="5" borderId="2" xfId="13" applyNumberFormat="1" applyFont="1" applyFill="1" applyBorder="1"/>
    <xf numFmtId="0" fontId="1" fillId="5" borderId="0" xfId="13" applyFill="1"/>
    <xf numFmtId="0" fontId="10" fillId="10" borderId="4" xfId="13" applyFont="1" applyFill="1" applyBorder="1" applyAlignment="1">
      <alignment vertical="center"/>
    </xf>
    <xf numFmtId="0" fontId="36" fillId="10" borderId="2" xfId="13" applyFont="1" applyFill="1" applyBorder="1" applyAlignment="1">
      <alignment horizontal="left" vertical="top" wrapText="1"/>
    </xf>
    <xf numFmtId="0" fontId="36" fillId="10" borderId="2" xfId="13" applyFont="1" applyFill="1" applyBorder="1" applyAlignment="1">
      <alignment vertical="top" wrapText="1"/>
    </xf>
    <xf numFmtId="0" fontId="36" fillId="10" borderId="2" xfId="13" applyFont="1" applyFill="1" applyBorder="1"/>
    <xf numFmtId="41" fontId="36" fillId="10" borderId="2" xfId="13" applyNumberFormat="1" applyFont="1" applyFill="1" applyBorder="1"/>
    <xf numFmtId="0" fontId="13" fillId="0" borderId="0" xfId="13" applyFont="1"/>
    <xf numFmtId="0" fontId="37" fillId="3" borderId="2" xfId="13" quotePrefix="1" applyFont="1" applyFill="1" applyBorder="1" applyAlignment="1">
      <alignment vertical="center" wrapText="1"/>
    </xf>
    <xf numFmtId="0" fontId="10" fillId="3" borderId="2" xfId="13" quotePrefix="1" applyFont="1" applyFill="1" applyBorder="1" applyAlignment="1">
      <alignment vertical="center"/>
    </xf>
    <xf numFmtId="0" fontId="10" fillId="3" borderId="2" xfId="13" applyFont="1" applyFill="1" applyBorder="1" applyAlignment="1">
      <alignment vertical="center"/>
    </xf>
    <xf numFmtId="0" fontId="25" fillId="3" borderId="2" xfId="13" applyFont="1" applyFill="1" applyBorder="1" applyAlignment="1">
      <alignment horizontal="left" vertical="top" wrapText="1"/>
    </xf>
    <xf numFmtId="0" fontId="25" fillId="3" borderId="2" xfId="13" applyFont="1" applyFill="1" applyBorder="1" applyAlignment="1">
      <alignment vertical="top" wrapText="1"/>
    </xf>
    <xf numFmtId="9" fontId="25" fillId="3" borderId="2" xfId="13" applyNumberFormat="1" applyFont="1" applyFill="1" applyBorder="1" applyAlignment="1">
      <alignment horizontal="center" vertical="top" wrapText="1"/>
    </xf>
    <xf numFmtId="9" fontId="25" fillId="3" borderId="2" xfId="13" applyNumberFormat="1" applyFont="1" applyFill="1" applyBorder="1" applyAlignment="1">
      <alignment horizontal="center" vertical="center" wrapText="1"/>
    </xf>
    <xf numFmtId="0" fontId="25" fillId="3" borderId="2" xfId="13" applyFont="1" applyFill="1" applyBorder="1" applyAlignment="1">
      <alignment horizontal="center" vertical="center" wrapText="1"/>
    </xf>
    <xf numFmtId="43" fontId="38" fillId="3" borderId="2" xfId="13" applyNumberFormat="1" applyFont="1" applyFill="1" applyBorder="1" applyAlignment="1">
      <alignment horizontal="center" vertical="center" wrapText="1"/>
    </xf>
    <xf numFmtId="9" fontId="38" fillId="3" borderId="2" xfId="13" applyNumberFormat="1" applyFont="1" applyFill="1" applyBorder="1" applyAlignment="1">
      <alignment horizontal="center" vertical="top" wrapText="1"/>
    </xf>
    <xf numFmtId="41" fontId="40" fillId="3" borderId="2" xfId="13" applyNumberFormat="1" applyFont="1" applyFill="1" applyBorder="1" applyAlignment="1">
      <alignment horizontal="center" vertical="center" wrapText="1"/>
    </xf>
    <xf numFmtId="0" fontId="37" fillId="3" borderId="2" xfId="13" applyFont="1" applyFill="1" applyBorder="1" applyAlignment="1">
      <alignment vertical="center" wrapText="1"/>
    </xf>
    <xf numFmtId="4" fontId="37" fillId="3" borderId="4" xfId="13" applyNumberFormat="1" applyFont="1" applyFill="1" applyBorder="1" applyAlignment="1">
      <alignment horizontal="center" vertical="center" wrapText="1"/>
    </xf>
    <xf numFmtId="43" fontId="37" fillId="3" borderId="2" xfId="13" applyNumberFormat="1" applyFont="1" applyFill="1" applyBorder="1" applyAlignment="1">
      <alignment horizontal="center" vertical="center" wrapText="1"/>
    </xf>
    <xf numFmtId="4" fontId="38" fillId="3" borderId="2" xfId="13" applyNumberFormat="1" applyFont="1" applyFill="1" applyBorder="1" applyAlignment="1">
      <alignment horizontal="right" vertical="center" wrapText="1"/>
    </xf>
    <xf numFmtId="9" fontId="38" fillId="3" borderId="5" xfId="13" applyNumberFormat="1" applyFont="1" applyFill="1" applyBorder="1" applyAlignment="1">
      <alignment horizontal="center" vertical="top" wrapText="1"/>
    </xf>
    <xf numFmtId="41" fontId="40" fillId="3" borderId="0" xfId="13" applyNumberFormat="1" applyFont="1" applyFill="1" applyBorder="1" applyAlignment="1">
      <alignment horizontal="center" vertical="center" wrapText="1"/>
    </xf>
    <xf numFmtId="0" fontId="1" fillId="10" borderId="0" xfId="13" applyFill="1"/>
    <xf numFmtId="0" fontId="37" fillId="0" borderId="2" xfId="13" quotePrefix="1" applyFont="1" applyBorder="1" applyAlignment="1">
      <alignment horizontal="right" vertical="center" wrapText="1"/>
    </xf>
    <xf numFmtId="0" fontId="37" fillId="0" borderId="2" xfId="13" quotePrefix="1" applyFont="1" applyBorder="1" applyAlignment="1">
      <alignment horizontal="right" vertical="center"/>
    </xf>
    <xf numFmtId="0" fontId="37" fillId="0" borderId="2" xfId="13" applyFont="1" applyBorder="1" applyAlignment="1">
      <alignment horizontal="right" vertical="center"/>
    </xf>
    <xf numFmtId="0" fontId="37" fillId="0" borderId="2" xfId="13" applyFont="1" applyBorder="1" applyAlignment="1">
      <alignment vertical="center"/>
    </xf>
    <xf numFmtId="0" fontId="37" fillId="0" borderId="2" xfId="13" applyFont="1" applyFill="1" applyBorder="1" applyAlignment="1">
      <alignment vertical="top" wrapText="1"/>
    </xf>
    <xf numFmtId="10" fontId="37" fillId="0" borderId="2" xfId="13" applyNumberFormat="1" applyFont="1" applyFill="1" applyBorder="1" applyAlignment="1">
      <alignment horizontal="center" vertical="top" wrapText="1"/>
    </xf>
    <xf numFmtId="3" fontId="38" fillId="0" borderId="2" xfId="13" applyNumberFormat="1" applyFont="1" applyFill="1" applyBorder="1" applyAlignment="1">
      <alignment horizontal="right" vertical="center" wrapText="1"/>
    </xf>
    <xf numFmtId="41" fontId="38" fillId="0" borderId="2" xfId="13" applyNumberFormat="1" applyFont="1" applyFill="1" applyBorder="1" applyAlignment="1">
      <alignment horizontal="center" vertical="center" wrapText="1"/>
    </xf>
    <xf numFmtId="3" fontId="38" fillId="0" borderId="2" xfId="13" applyNumberFormat="1" applyFont="1" applyFill="1" applyBorder="1" applyAlignment="1">
      <alignment horizontal="right" vertical="center"/>
    </xf>
    <xf numFmtId="3" fontId="38" fillId="0" borderId="2" xfId="13" applyNumberFormat="1" applyFont="1" applyFill="1" applyBorder="1" applyAlignment="1">
      <alignment horizontal="center" vertical="center" wrapText="1"/>
    </xf>
    <xf numFmtId="3" fontId="38" fillId="0" borderId="2" xfId="13" applyNumberFormat="1" applyFont="1" applyFill="1" applyBorder="1" applyAlignment="1">
      <alignment horizontal="center" vertical="center"/>
    </xf>
    <xf numFmtId="10" fontId="37" fillId="0" borderId="2" xfId="13" applyNumberFormat="1" applyFont="1" applyFill="1" applyBorder="1" applyAlignment="1">
      <alignment vertical="top" wrapText="1"/>
    </xf>
    <xf numFmtId="9" fontId="38" fillId="0" borderId="2" xfId="13" applyNumberFormat="1" applyFont="1" applyFill="1" applyBorder="1" applyAlignment="1">
      <alignment horizontal="center" vertical="center" wrapText="1"/>
    </xf>
    <xf numFmtId="0" fontId="37" fillId="0" borderId="2" xfId="13" applyFont="1" applyFill="1" applyBorder="1" applyAlignment="1">
      <alignment horizontal="center" vertical="top" wrapText="1"/>
    </xf>
    <xf numFmtId="0" fontId="37" fillId="0" borderId="2" xfId="13" applyFont="1" applyBorder="1"/>
    <xf numFmtId="0" fontId="38" fillId="0" borderId="2" xfId="13" applyFont="1" applyFill="1" applyBorder="1" applyAlignment="1">
      <alignment horizontal="left" vertical="center" wrapText="1"/>
    </xf>
    <xf numFmtId="4" fontId="38" fillId="0" borderId="2" xfId="13" applyNumberFormat="1" applyFont="1" applyFill="1" applyBorder="1" applyAlignment="1">
      <alignment horizontal="right" vertical="center"/>
    </xf>
    <xf numFmtId="39" fontId="38" fillId="0" borderId="2" xfId="13" applyNumberFormat="1" applyFont="1" applyFill="1" applyBorder="1" applyAlignment="1">
      <alignment horizontal="center" vertical="center"/>
    </xf>
    <xf numFmtId="9" fontId="37" fillId="0" borderId="2" xfId="13" applyNumberFormat="1" applyFont="1" applyFill="1" applyBorder="1" applyAlignment="1">
      <alignment horizontal="center" vertical="top" wrapText="1"/>
    </xf>
    <xf numFmtId="0" fontId="38" fillId="0" borderId="2" xfId="13" applyFont="1" applyFill="1" applyBorder="1" applyAlignment="1">
      <alignment horizontal="center" vertical="center"/>
    </xf>
    <xf numFmtId="41" fontId="38" fillId="0" borderId="2" xfId="13" applyNumberFormat="1" applyFont="1" applyFill="1" applyBorder="1" applyAlignment="1">
      <alignment horizontal="center" vertical="center"/>
    </xf>
    <xf numFmtId="9" fontId="37" fillId="0" borderId="2" xfId="13" applyNumberFormat="1" applyFont="1" applyFill="1" applyBorder="1" applyAlignment="1">
      <alignment horizontal="center" vertical="center"/>
    </xf>
    <xf numFmtId="41" fontId="37" fillId="0" borderId="2" xfId="13" applyNumberFormat="1" applyFont="1" applyFill="1" applyBorder="1" applyAlignment="1">
      <alignment horizontal="center" vertical="center" wrapText="1"/>
    </xf>
    <xf numFmtId="0" fontId="38" fillId="0" borderId="6" xfId="13" applyFont="1" applyFill="1" applyBorder="1" applyAlignment="1">
      <alignment vertical="top" wrapText="1"/>
    </xf>
    <xf numFmtId="9" fontId="37" fillId="0" borderId="2" xfId="13" applyNumberFormat="1" applyFont="1" applyFill="1" applyBorder="1" applyAlignment="1">
      <alignment horizontal="center" vertical="center" wrapText="1"/>
    </xf>
    <xf numFmtId="4" fontId="37" fillId="0" borderId="2" xfId="13" applyNumberFormat="1" applyFont="1" applyFill="1" applyBorder="1" applyAlignment="1">
      <alignment horizontal="right" vertical="center"/>
    </xf>
    <xf numFmtId="3" fontId="37" fillId="0" borderId="2" xfId="13" applyNumberFormat="1" applyFont="1" applyFill="1" applyBorder="1" applyAlignment="1">
      <alignment horizontal="right" vertical="center"/>
    </xf>
    <xf numFmtId="39" fontId="37" fillId="0" borderId="2" xfId="13" applyNumberFormat="1" applyFont="1" applyFill="1" applyBorder="1" applyAlignment="1">
      <alignment horizontal="center" vertical="center"/>
    </xf>
    <xf numFmtId="0" fontId="37" fillId="0" borderId="2" xfId="13" quotePrefix="1" applyFont="1" applyBorder="1" applyAlignment="1">
      <alignment horizontal="center" vertical="center"/>
    </xf>
    <xf numFmtId="0" fontId="37" fillId="0" borderId="2" xfId="13" applyFont="1" applyBorder="1" applyAlignment="1">
      <alignment horizontal="center" vertical="center"/>
    </xf>
    <xf numFmtId="0" fontId="38" fillId="0" borderId="2" xfId="13" applyFont="1" applyBorder="1" applyAlignment="1">
      <alignment vertical="top" wrapText="1"/>
    </xf>
    <xf numFmtId="37" fontId="38" fillId="0" borderId="2" xfId="10" applyNumberFormat="1" applyFont="1" applyBorder="1" applyAlignment="1">
      <alignment horizontal="right" vertical="center" wrapText="1"/>
    </xf>
    <xf numFmtId="37" fontId="38" fillId="0" borderId="2" xfId="13" applyNumberFormat="1" applyFont="1" applyBorder="1" applyAlignment="1">
      <alignment vertical="center" wrapText="1"/>
    </xf>
    <xf numFmtId="3" fontId="38" fillId="0" borderId="2" xfId="13" applyNumberFormat="1" applyFont="1" applyBorder="1" applyAlignment="1">
      <alignment vertical="center" wrapText="1"/>
    </xf>
    <xf numFmtId="37" fontId="38" fillId="0" borderId="2" xfId="13" applyNumberFormat="1" applyFont="1" applyBorder="1" applyAlignment="1">
      <alignment horizontal="right" vertical="center" wrapText="1"/>
    </xf>
    <xf numFmtId="0" fontId="38" fillId="0" borderId="2" xfId="13" applyFont="1" applyBorder="1" applyAlignment="1">
      <alignment horizontal="center" vertical="top" wrapText="1"/>
    </xf>
    <xf numFmtId="0" fontId="38" fillId="0" borderId="2" xfId="13" applyFont="1" applyBorder="1" applyAlignment="1">
      <alignment horizontal="center" vertical="center" wrapText="1"/>
    </xf>
    <xf numFmtId="37" fontId="38" fillId="0" borderId="2" xfId="13" applyNumberFormat="1" applyFont="1" applyBorder="1" applyAlignment="1">
      <alignment horizontal="right" vertical="center"/>
    </xf>
    <xf numFmtId="37" fontId="38" fillId="0" borderId="2" xfId="13" applyNumberFormat="1" applyFont="1" applyBorder="1" applyAlignment="1">
      <alignment vertical="center"/>
    </xf>
    <xf numFmtId="0" fontId="38" fillId="0" borderId="2" xfId="13" applyFont="1" applyBorder="1" applyAlignment="1">
      <alignment vertical="center" wrapText="1"/>
    </xf>
    <xf numFmtId="41" fontId="38" fillId="0" borderId="2" xfId="7" quotePrefix="1" applyFont="1" applyBorder="1" applyAlignment="1">
      <alignment horizontal="center" vertical="center"/>
    </xf>
    <xf numFmtId="3" fontId="38" fillId="0" borderId="2" xfId="13" applyNumberFormat="1" applyFont="1" applyBorder="1" applyAlignment="1">
      <alignment horizontal="center" vertical="center"/>
    </xf>
    <xf numFmtId="165" fontId="38" fillId="0" borderId="2" xfId="13" applyNumberFormat="1" applyFont="1" applyBorder="1" applyAlignment="1">
      <alignment horizontal="center" vertical="center"/>
    </xf>
    <xf numFmtId="0" fontId="38" fillId="0" borderId="2" xfId="13" quotePrefix="1" applyFont="1" applyBorder="1" applyAlignment="1">
      <alignment horizontal="center" vertical="center" wrapText="1"/>
    </xf>
    <xf numFmtId="43" fontId="38" fillId="0" borderId="2" xfId="13" quotePrefix="1" applyNumberFormat="1" applyFont="1" applyBorder="1" applyAlignment="1">
      <alignment horizontal="center" vertical="center"/>
    </xf>
    <xf numFmtId="166" fontId="38" fillId="0" borderId="2" xfId="7" applyNumberFormat="1" applyFont="1" applyBorder="1" applyAlignment="1">
      <alignment horizontal="center" vertical="center" wrapText="1"/>
    </xf>
    <xf numFmtId="0" fontId="37" fillId="0" borderId="2" xfId="13" quotePrefix="1" applyFont="1" applyBorder="1" applyAlignment="1">
      <alignment vertical="center"/>
    </xf>
    <xf numFmtId="0" fontId="1" fillId="6" borderId="2" xfId="13" applyFill="1" applyBorder="1"/>
    <xf numFmtId="39" fontId="38" fillId="0" borderId="2" xfId="13" quotePrefix="1" applyNumberFormat="1" applyFont="1" applyBorder="1" applyAlignment="1">
      <alignment horizontal="center" vertical="center"/>
    </xf>
    <xf numFmtId="0" fontId="23" fillId="0" borderId="2" xfId="13" applyFont="1" applyBorder="1"/>
    <xf numFmtId="0" fontId="38" fillId="0" borderId="2" xfId="13" applyFont="1" applyBorder="1" applyAlignment="1">
      <alignment horizontal="left" vertical="center" wrapText="1"/>
    </xf>
    <xf numFmtId="9" fontId="38" fillId="0" borderId="2" xfId="13" applyNumberFormat="1" applyFont="1" applyBorder="1" applyAlignment="1">
      <alignment horizontal="center" vertical="top" wrapText="1"/>
    </xf>
    <xf numFmtId="39" fontId="38" fillId="0" borderId="2" xfId="13" quotePrefix="1" applyNumberFormat="1" applyFont="1" applyBorder="1" applyAlignment="1">
      <alignment horizontal="right" vertical="center"/>
    </xf>
    <xf numFmtId="9" fontId="38" fillId="0" borderId="2" xfId="13" applyNumberFormat="1" applyFont="1" applyBorder="1" applyAlignment="1">
      <alignment horizontal="center" vertical="center" wrapText="1"/>
    </xf>
    <xf numFmtId="0" fontId="33" fillId="0" borderId="2" xfId="13" applyFont="1" applyBorder="1"/>
    <xf numFmtId="0" fontId="1" fillId="0" borderId="2" xfId="13" applyBorder="1" applyAlignment="1">
      <alignment horizontal="left" vertical="top" wrapText="1"/>
    </xf>
    <xf numFmtId="0" fontId="1" fillId="0" borderId="2" xfId="13" applyBorder="1" applyAlignment="1">
      <alignment horizontal="left" vertical="center" wrapText="1"/>
    </xf>
    <xf numFmtId="0" fontId="1" fillId="0" borderId="2" xfId="13" quotePrefix="1" applyBorder="1" applyAlignment="1">
      <alignment horizontal="center" vertical="top" wrapText="1"/>
    </xf>
    <xf numFmtId="0" fontId="1" fillId="0" borderId="2" xfId="13" quotePrefix="1" applyBorder="1" applyAlignment="1">
      <alignment horizontal="center" vertical="center"/>
    </xf>
    <xf numFmtId="9" fontId="1" fillId="0" borderId="2" xfId="13" applyNumberFormat="1" applyBorder="1" applyAlignment="1">
      <alignment horizontal="center" vertical="center"/>
    </xf>
    <xf numFmtId="165" fontId="1" fillId="0" borderId="2" xfId="7" applyNumberFormat="1" applyFont="1" applyBorder="1" applyAlignment="1">
      <alignment horizontal="center" vertical="center"/>
    </xf>
    <xf numFmtId="165" fontId="23" fillId="0" borderId="2" xfId="7" applyNumberFormat="1" applyFont="1" applyBorder="1" applyAlignment="1">
      <alignment horizontal="center" vertical="center"/>
    </xf>
    <xf numFmtId="165" fontId="41" fillId="0" borderId="2" xfId="7" applyNumberFormat="1" applyFont="1" applyBorder="1" applyAlignment="1">
      <alignment horizontal="center" vertical="center"/>
    </xf>
    <xf numFmtId="49" fontId="42" fillId="3" borderId="2" xfId="13" applyNumberFormat="1" applyFont="1" applyFill="1" applyBorder="1" applyAlignment="1">
      <alignment horizontal="left" vertical="center" wrapText="1"/>
    </xf>
    <xf numFmtId="0" fontId="33" fillId="3" borderId="0" xfId="13" applyFont="1" applyFill="1"/>
    <xf numFmtId="0" fontId="37" fillId="0" borderId="2" xfId="13" quotePrefix="1" applyFont="1" applyFill="1" applyBorder="1" applyAlignment="1">
      <alignment horizontal="center" vertical="center"/>
    </xf>
    <xf numFmtId="0" fontId="37" fillId="0" borderId="2" xfId="13" applyFont="1" applyFill="1" applyBorder="1" applyAlignment="1">
      <alignment horizontal="center" vertical="center"/>
    </xf>
    <xf numFmtId="0" fontId="43" fillId="0" borderId="2" xfId="13" applyFont="1" applyFill="1" applyBorder="1"/>
    <xf numFmtId="0" fontId="37" fillId="0" borderId="2" xfId="13" applyFont="1" applyFill="1" applyBorder="1" applyAlignment="1">
      <alignment horizontal="left" vertical="top" wrapText="1"/>
    </xf>
    <xf numFmtId="39" fontId="37" fillId="0" borderId="2" xfId="7" applyNumberFormat="1" applyFont="1" applyFill="1" applyBorder="1" applyAlignment="1">
      <alignment vertical="center"/>
    </xf>
    <xf numFmtId="164" fontId="37" fillId="0" borderId="2" xfId="7" applyNumberFormat="1" applyFont="1" applyFill="1" applyBorder="1" applyAlignment="1">
      <alignment horizontal="center" vertical="center"/>
    </xf>
    <xf numFmtId="0" fontId="44" fillId="3" borderId="2" xfId="13" quotePrefix="1" applyFont="1" applyFill="1" applyBorder="1" applyAlignment="1">
      <alignment vertical="center" wrapText="1"/>
    </xf>
    <xf numFmtId="0" fontId="37" fillId="0" borderId="2" xfId="0" quotePrefix="1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45" fillId="0" borderId="2" xfId="0" applyFont="1" applyBorder="1"/>
    <xf numFmtId="0" fontId="37" fillId="3" borderId="5" xfId="0" applyFont="1" applyFill="1" applyBorder="1" applyAlignment="1">
      <alignment vertical="top" wrapText="1"/>
    </xf>
    <xf numFmtId="0" fontId="24" fillId="0" borderId="2" xfId="0" applyFont="1" applyBorder="1" applyAlignment="1">
      <alignment horizontal="left" vertical="top" wrapText="1"/>
    </xf>
    <xf numFmtId="0" fontId="24" fillId="0" borderId="2" xfId="0" quotePrefix="1" applyFont="1" applyBorder="1" applyAlignment="1">
      <alignment horizontal="center" vertical="top" wrapText="1"/>
    </xf>
    <xf numFmtId="0" fontId="24" fillId="0" borderId="2" xfId="0" quotePrefix="1" applyFont="1" applyBorder="1" applyAlignment="1">
      <alignment horizontal="center"/>
    </xf>
    <xf numFmtId="0" fontId="24" fillId="0" borderId="2" xfId="0" applyFont="1" applyBorder="1"/>
    <xf numFmtId="39" fontId="24" fillId="0" borderId="2" xfId="2" applyNumberFormat="1" applyFont="1" applyBorder="1" applyAlignment="1">
      <alignment vertical="center"/>
    </xf>
    <xf numFmtId="0" fontId="24" fillId="0" borderId="2" xfId="0" applyFont="1" applyBorder="1" applyAlignment="1">
      <alignment horizontal="center" vertical="top" wrapText="1"/>
    </xf>
    <xf numFmtId="49" fontId="34" fillId="9" borderId="1" xfId="13" applyNumberFormat="1" applyFont="1" applyFill="1" applyBorder="1" applyAlignment="1">
      <alignment horizontal="left" vertical="center" wrapText="1"/>
    </xf>
    <xf numFmtId="49" fontId="34" fillId="9" borderId="1" xfId="13" applyNumberFormat="1" applyFont="1" applyFill="1" applyBorder="1" applyAlignment="1">
      <alignment horizontal="left" vertical="top" wrapText="1"/>
    </xf>
    <xf numFmtId="49" fontId="34" fillId="9" borderId="21" xfId="13" applyNumberFormat="1" applyFont="1" applyFill="1" applyBorder="1" applyAlignment="1">
      <alignment horizontal="left" vertical="top" wrapText="1"/>
    </xf>
    <xf numFmtId="0" fontId="37" fillId="0" borderId="2" xfId="13" applyFont="1" applyBorder="1" applyAlignment="1">
      <alignment horizontal="center" vertical="center" wrapText="1"/>
    </xf>
    <xf numFmtId="0" fontId="37" fillId="0" borderId="2" xfId="13" applyFont="1" applyBorder="1" applyAlignment="1">
      <alignment vertical="center" wrapText="1"/>
    </xf>
    <xf numFmtId="37" fontId="38" fillId="0" borderId="2" xfId="10" applyNumberFormat="1" applyFont="1" applyBorder="1" applyAlignment="1">
      <alignment vertical="center" wrapText="1"/>
    </xf>
    <xf numFmtId="37" fontId="38" fillId="0" borderId="2" xfId="13" applyNumberFormat="1" applyFont="1" applyBorder="1" applyAlignment="1">
      <alignment horizontal="center" vertical="center" wrapText="1"/>
    </xf>
    <xf numFmtId="37" fontId="38" fillId="0" borderId="2" xfId="7" applyNumberFormat="1" applyFont="1" applyBorder="1" applyAlignment="1">
      <alignment horizontal="right" vertical="center" wrapText="1"/>
    </xf>
    <xf numFmtId="0" fontId="1" fillId="11" borderId="2" xfId="13" applyFill="1" applyBorder="1"/>
    <xf numFmtId="0" fontId="37" fillId="0" borderId="6" xfId="13" applyFont="1" applyBorder="1" applyAlignment="1">
      <alignment horizontal="center" vertical="center" wrapText="1"/>
    </xf>
    <xf numFmtId="0" fontId="37" fillId="0" borderId="6" xfId="13" applyFont="1" applyBorder="1" applyAlignment="1">
      <alignment vertical="center" wrapText="1"/>
    </xf>
    <xf numFmtId="0" fontId="38" fillId="0" borderId="6" xfId="13" applyFont="1" applyBorder="1" applyAlignment="1">
      <alignment vertical="top" wrapText="1"/>
    </xf>
    <xf numFmtId="0" fontId="37" fillId="0" borderId="6" xfId="13" applyFont="1" applyFill="1" applyBorder="1" applyAlignment="1">
      <alignment horizontal="left" vertical="top" wrapText="1"/>
    </xf>
    <xf numFmtId="0" fontId="38" fillId="0" borderId="6" xfId="13" applyFont="1" applyBorder="1" applyAlignment="1">
      <alignment horizontal="center" vertical="center" wrapText="1"/>
    </xf>
    <xf numFmtId="39" fontId="38" fillId="0" borderId="6" xfId="10" applyNumberFormat="1" applyFont="1" applyBorder="1" applyAlignment="1">
      <alignment horizontal="right" vertical="center" wrapText="1"/>
    </xf>
    <xf numFmtId="39" fontId="38" fillId="0" borderId="6" xfId="10" applyNumberFormat="1" applyFont="1" applyBorder="1" applyAlignment="1">
      <alignment vertical="center" wrapText="1"/>
    </xf>
    <xf numFmtId="4" fontId="38" fillId="0" borderId="6" xfId="10" applyNumberFormat="1" applyFont="1" applyBorder="1" applyAlignment="1">
      <alignment vertical="center" wrapText="1"/>
    </xf>
    <xf numFmtId="0" fontId="38" fillId="0" borderId="6" xfId="13" applyFont="1" applyBorder="1" applyAlignment="1">
      <alignment horizontal="center" vertical="top" wrapText="1"/>
    </xf>
    <xf numFmtId="39" fontId="38" fillId="0" borderId="2" xfId="10" applyNumberFormat="1" applyFont="1" applyBorder="1" applyAlignment="1">
      <alignment horizontal="right" vertical="center" wrapText="1"/>
    </xf>
    <xf numFmtId="39" fontId="38" fillId="0" borderId="2" xfId="10" applyNumberFormat="1" applyFont="1" applyBorder="1" applyAlignment="1">
      <alignment vertical="center" wrapText="1"/>
    </xf>
    <xf numFmtId="4" fontId="38" fillId="0" borderId="2" xfId="10" applyNumberFormat="1" applyFont="1" applyBorder="1" applyAlignment="1">
      <alignment vertical="center" wrapText="1"/>
    </xf>
    <xf numFmtId="0" fontId="37" fillId="0" borderId="1" xfId="13" applyFont="1" applyFill="1" applyBorder="1" applyAlignment="1">
      <alignment horizontal="left" vertical="top" wrapText="1"/>
    </xf>
    <xf numFmtId="0" fontId="38" fillId="0" borderId="1" xfId="13" applyFont="1" applyBorder="1" applyAlignment="1">
      <alignment horizontal="center" vertical="top" wrapText="1"/>
    </xf>
    <xf numFmtId="0" fontId="38" fillId="0" borderId="1" xfId="13" applyFont="1" applyBorder="1" applyAlignment="1">
      <alignment horizontal="center" vertical="center" wrapText="1"/>
    </xf>
    <xf numFmtId="39" fontId="38" fillId="0" borderId="1" xfId="10" applyNumberFormat="1" applyFont="1" applyBorder="1" applyAlignment="1">
      <alignment horizontal="right" vertical="center" wrapText="1"/>
    </xf>
    <xf numFmtId="39" fontId="38" fillId="0" borderId="1" xfId="10" applyNumberFormat="1" applyFont="1" applyBorder="1" applyAlignment="1">
      <alignment vertical="center" wrapText="1"/>
    </xf>
    <xf numFmtId="4" fontId="38" fillId="0" borderId="1" xfId="10" applyNumberFormat="1" applyFont="1" applyBorder="1" applyAlignment="1">
      <alignment vertical="center" wrapText="1"/>
    </xf>
    <xf numFmtId="0" fontId="38" fillId="0" borderId="21" xfId="13" applyFont="1" applyBorder="1" applyAlignment="1">
      <alignment horizontal="center" vertical="top" wrapText="1"/>
    </xf>
    <xf numFmtId="0" fontId="1" fillId="11" borderId="0" xfId="13" applyFill="1" applyBorder="1"/>
    <xf numFmtId="0" fontId="37" fillId="0" borderId="7" xfId="13" applyFont="1" applyBorder="1" applyAlignment="1">
      <alignment horizontal="center" vertical="center" wrapText="1"/>
    </xf>
    <xf numFmtId="0" fontId="37" fillId="0" borderId="7" xfId="13" quotePrefix="1" applyFont="1" applyBorder="1" applyAlignment="1">
      <alignment horizontal="center" vertical="center" wrapText="1"/>
    </xf>
    <xf numFmtId="0" fontId="37" fillId="0" borderId="6" xfId="13" applyFont="1" applyBorder="1"/>
    <xf numFmtId="13" fontId="38" fillId="0" borderId="6" xfId="13" quotePrefix="1" applyNumberFormat="1" applyFont="1" applyBorder="1" applyAlignment="1">
      <alignment horizontal="left" vertical="top" wrapText="1"/>
    </xf>
    <xf numFmtId="4" fontId="38" fillId="0" borderId="6" xfId="13" applyNumberFormat="1" applyFont="1" applyBorder="1" applyAlignment="1">
      <alignment horizontal="right" vertical="center"/>
    </xf>
    <xf numFmtId="9" fontId="38" fillId="0" borderId="6" xfId="13" quotePrefix="1" applyNumberFormat="1" applyFont="1" applyBorder="1" applyAlignment="1">
      <alignment horizontal="left" vertical="top" wrapText="1"/>
    </xf>
    <xf numFmtId="13" fontId="38" fillId="0" borderId="6" xfId="13" quotePrefix="1" applyNumberFormat="1" applyFont="1" applyBorder="1" applyAlignment="1">
      <alignment horizontal="center" vertical="top" wrapText="1"/>
    </xf>
    <xf numFmtId="9" fontId="38" fillId="0" borderId="6" xfId="13" quotePrefix="1" applyNumberFormat="1" applyFont="1" applyBorder="1" applyAlignment="1">
      <alignment horizontal="center" vertical="top" wrapText="1"/>
    </xf>
    <xf numFmtId="0" fontId="37" fillId="0" borderId="3" xfId="13" applyFont="1" applyBorder="1" applyAlignment="1">
      <alignment horizontal="center" vertical="center" wrapText="1"/>
    </xf>
    <xf numFmtId="9" fontId="38" fillId="0" borderId="2" xfId="13" quotePrefix="1" applyNumberFormat="1" applyFont="1" applyBorder="1" applyAlignment="1">
      <alignment horizontal="left" vertical="top" wrapText="1"/>
    </xf>
    <xf numFmtId="4" fontId="38" fillId="0" borderId="2" xfId="13" applyNumberFormat="1" applyFont="1" applyBorder="1" applyAlignment="1">
      <alignment horizontal="right" vertical="center"/>
    </xf>
    <xf numFmtId="9" fontId="38" fillId="0" borderId="2" xfId="13" quotePrefix="1" applyNumberFormat="1" applyFont="1" applyBorder="1" applyAlignment="1">
      <alignment horizontal="right" vertical="top" wrapText="1"/>
    </xf>
    <xf numFmtId="0" fontId="46" fillId="0" borderId="0" xfId="13" applyFont="1" applyFill="1"/>
    <xf numFmtId="0" fontId="46" fillId="5" borderId="0" xfId="13" applyFont="1" applyFill="1"/>
    <xf numFmtId="0" fontId="38" fillId="10" borderId="4" xfId="13" applyFont="1" applyFill="1" applyBorder="1" applyAlignment="1">
      <alignment horizontal="left" vertical="top" wrapText="1"/>
    </xf>
    <xf numFmtId="49" fontId="38" fillId="10" borderId="2" xfId="13" quotePrefix="1" applyNumberFormat="1" applyFont="1" applyFill="1" applyBorder="1" applyAlignment="1">
      <alignment horizontal="left" vertical="top" wrapText="1"/>
    </xf>
    <xf numFmtId="9" fontId="38" fillId="10" borderId="2" xfId="13" quotePrefix="1" applyNumberFormat="1" applyFont="1" applyFill="1" applyBorder="1" applyAlignment="1">
      <alignment horizontal="left" vertical="center" wrapText="1"/>
    </xf>
    <xf numFmtId="39" fontId="38" fillId="10" borderId="1" xfId="13" applyNumberFormat="1" applyFont="1" applyFill="1" applyBorder="1" applyAlignment="1">
      <alignment horizontal="left" vertical="center" wrapText="1"/>
    </xf>
    <xf numFmtId="0" fontId="38" fillId="10" borderId="2" xfId="13" applyFont="1" applyFill="1" applyBorder="1" applyAlignment="1">
      <alignment horizontal="left" vertical="top" wrapText="1"/>
    </xf>
    <xf numFmtId="0" fontId="37" fillId="0" borderId="2" xfId="4" applyFont="1" applyBorder="1" applyAlignment="1" applyProtection="1">
      <alignment horizontal="left" vertical="center" wrapText="1"/>
    </xf>
    <xf numFmtId="49" fontId="38" fillId="0" borderId="4" xfId="13" applyNumberFormat="1" applyFont="1" applyFill="1" applyBorder="1" applyAlignment="1">
      <alignment vertical="center" wrapText="1"/>
    </xf>
    <xf numFmtId="49" fontId="38" fillId="0" borderId="2" xfId="13" applyNumberFormat="1" applyFont="1" applyFill="1" applyBorder="1" applyAlignment="1">
      <alignment horizontal="center" vertical="center" wrapText="1"/>
    </xf>
    <xf numFmtId="4" fontId="38" fillId="0" borderId="2" xfId="10" applyNumberFormat="1" applyFont="1" applyFill="1" applyBorder="1" applyAlignment="1">
      <alignment horizontal="right" vertical="center" wrapText="1"/>
    </xf>
    <xf numFmtId="4" fontId="38" fillId="0" borderId="2" xfId="10" applyNumberFormat="1" applyFont="1" applyFill="1" applyBorder="1" applyAlignment="1">
      <alignment horizontal="center" vertical="center" wrapText="1"/>
    </xf>
    <xf numFmtId="3" fontId="38" fillId="0" borderId="2" xfId="13" applyNumberFormat="1" applyFont="1" applyFill="1" applyBorder="1" applyAlignment="1">
      <alignment horizontal="center" vertical="top" wrapText="1"/>
    </xf>
    <xf numFmtId="0" fontId="38" fillId="0" borderId="4" xfId="13" applyFont="1" applyFill="1" applyBorder="1" applyAlignment="1">
      <alignment vertical="center" wrapText="1"/>
    </xf>
    <xf numFmtId="4" fontId="38" fillId="0" borderId="2" xfId="13" applyNumberFormat="1" applyFont="1" applyFill="1" applyBorder="1" applyAlignment="1">
      <alignment horizontal="right" vertical="center" wrapText="1"/>
    </xf>
    <xf numFmtId="0" fontId="37" fillId="3" borderId="3" xfId="13" quotePrefix="1" applyFont="1" applyFill="1" applyBorder="1" applyAlignment="1">
      <alignment horizontal="center" vertical="center" wrapText="1"/>
    </xf>
    <xf numFmtId="0" fontId="38" fillId="3" borderId="4" xfId="13" applyFont="1" applyFill="1" applyBorder="1" applyAlignment="1">
      <alignment horizontal="left" vertical="top" wrapText="1"/>
    </xf>
    <xf numFmtId="9" fontId="38" fillId="3" borderId="0" xfId="13" applyNumberFormat="1" applyFont="1" applyFill="1" applyAlignment="1">
      <alignment horizontal="center" vertical="center" wrapText="1"/>
    </xf>
    <xf numFmtId="4" fontId="38" fillId="3" borderId="2" xfId="7" applyNumberFormat="1" applyFont="1" applyFill="1" applyBorder="1" applyAlignment="1">
      <alignment horizontal="right" vertical="center" wrapText="1"/>
    </xf>
    <xf numFmtId="9" fontId="38" fillId="3" borderId="4" xfId="13" applyNumberFormat="1" applyFont="1" applyFill="1" applyBorder="1" applyAlignment="1">
      <alignment horizontal="center" vertical="center" wrapText="1"/>
    </xf>
    <xf numFmtId="0" fontId="1" fillId="3" borderId="2" xfId="13" applyFill="1" applyBorder="1" applyAlignment="1">
      <alignment wrapText="1"/>
    </xf>
    <xf numFmtId="0" fontId="37" fillId="5" borderId="2" xfId="13" quotePrefix="1" applyFont="1" applyFill="1" applyBorder="1" applyAlignment="1">
      <alignment vertical="center" wrapText="1"/>
    </xf>
    <xf numFmtId="0" fontId="37" fillId="5" borderId="2" xfId="13" applyFont="1" applyFill="1" applyBorder="1" applyAlignment="1">
      <alignment vertical="center" wrapText="1"/>
    </xf>
    <xf numFmtId="0" fontId="38" fillId="0" borderId="3" xfId="13" applyFont="1" applyBorder="1" applyAlignment="1">
      <alignment horizontal="left" vertical="top" wrapText="1"/>
    </xf>
    <xf numFmtId="0" fontId="38" fillId="0" borderId="5" xfId="13" applyFont="1" applyBorder="1" applyAlignment="1">
      <alignment vertical="top" wrapText="1"/>
    </xf>
    <xf numFmtId="0" fontId="38" fillId="5" borderId="2" xfId="13" applyFont="1" applyFill="1" applyBorder="1" applyAlignment="1">
      <alignment horizontal="center" vertical="center" wrapText="1"/>
    </xf>
    <xf numFmtId="43" fontId="38" fillId="5" borderId="2" xfId="13" applyNumberFormat="1" applyFont="1" applyFill="1" applyBorder="1" applyAlignment="1">
      <alignment horizontal="center" vertical="center" wrapText="1"/>
    </xf>
    <xf numFmtId="4" fontId="38" fillId="5" borderId="2" xfId="13" applyNumberFormat="1" applyFont="1" applyFill="1" applyBorder="1" applyAlignment="1">
      <alignment horizontal="right" vertical="center" wrapText="1"/>
    </xf>
    <xf numFmtId="4" fontId="38" fillId="5" borderId="4" xfId="13" applyNumberFormat="1" applyFont="1" applyFill="1" applyBorder="1" applyAlignment="1">
      <alignment horizontal="right" vertical="center" wrapText="1"/>
    </xf>
    <xf numFmtId="49" fontId="38" fillId="5" borderId="4" xfId="13" applyNumberFormat="1" applyFont="1" applyFill="1" applyBorder="1" applyAlignment="1">
      <alignment horizontal="center" vertical="center" wrapText="1"/>
    </xf>
    <xf numFmtId="9" fontId="38" fillId="5" borderId="2" xfId="13" applyNumberFormat="1" applyFont="1" applyFill="1" applyBorder="1" applyAlignment="1">
      <alignment horizontal="center" vertical="top" wrapText="1"/>
    </xf>
    <xf numFmtId="0" fontId="1" fillId="5" borderId="2" xfId="13" applyFill="1" applyBorder="1" applyAlignment="1">
      <alignment wrapText="1"/>
    </xf>
    <xf numFmtId="0" fontId="1" fillId="5" borderId="2" xfId="13" applyFill="1" applyBorder="1"/>
    <xf numFmtId="0" fontId="37" fillId="0" borderId="7" xfId="13" quotePrefix="1" applyFont="1" applyBorder="1" applyAlignment="1">
      <alignment vertical="center" wrapText="1"/>
    </xf>
    <xf numFmtId="0" fontId="37" fillId="0" borderId="7" xfId="13" applyFont="1" applyBorder="1" applyAlignment="1">
      <alignment vertical="center" wrapText="1"/>
    </xf>
    <xf numFmtId="0" fontId="38" fillId="0" borderId="2" xfId="13" applyFont="1" applyBorder="1" applyAlignment="1">
      <alignment horizontal="left" vertical="top" wrapText="1"/>
    </xf>
    <xf numFmtId="10" fontId="38" fillId="0" borderId="5" xfId="13" applyNumberFormat="1" applyFont="1" applyBorder="1" applyAlignment="1">
      <alignment horizontal="center" vertical="top" wrapText="1"/>
    </xf>
    <xf numFmtId="10" fontId="38" fillId="5" borderId="2" xfId="13" applyNumberFormat="1" applyFont="1" applyFill="1" applyBorder="1" applyAlignment="1">
      <alignment horizontal="center" vertical="center" wrapText="1"/>
    </xf>
    <xf numFmtId="43" fontId="38" fillId="5" borderId="2" xfId="13" applyNumberFormat="1" applyFont="1" applyFill="1" applyBorder="1" applyAlignment="1">
      <alignment vertical="center" wrapText="1"/>
    </xf>
    <xf numFmtId="9" fontId="38" fillId="5" borderId="4" xfId="13" applyNumberFormat="1" applyFont="1" applyFill="1" applyBorder="1" applyAlignment="1">
      <alignment horizontal="center" vertical="center" wrapText="1"/>
    </xf>
    <xf numFmtId="0" fontId="37" fillId="0" borderId="3" xfId="13" quotePrefix="1" applyFont="1" applyBorder="1" applyAlignment="1">
      <alignment vertical="center" wrapText="1"/>
    </xf>
    <xf numFmtId="0" fontId="37" fillId="0" borderId="3" xfId="13" applyFont="1" applyBorder="1" applyAlignment="1">
      <alignment vertical="center" wrapText="1"/>
    </xf>
    <xf numFmtId="0" fontId="38" fillId="0" borderId="5" xfId="13" applyFont="1" applyBorder="1" applyAlignment="1">
      <alignment horizontal="center" vertical="top" wrapText="1"/>
    </xf>
    <xf numFmtId="0" fontId="38" fillId="5" borderId="4" xfId="13" applyFont="1" applyFill="1" applyBorder="1" applyAlignment="1">
      <alignment horizontal="center" vertical="center" wrapText="1"/>
    </xf>
    <xf numFmtId="0" fontId="37" fillId="5" borderId="3" xfId="13" quotePrefix="1" applyFont="1" applyFill="1" applyBorder="1" applyAlignment="1">
      <alignment vertical="center" wrapText="1"/>
    </xf>
    <xf numFmtId="0" fontId="38" fillId="0" borderId="3" xfId="13" applyFont="1" applyBorder="1" applyAlignment="1">
      <alignment vertical="top" wrapText="1"/>
    </xf>
    <xf numFmtId="0" fontId="38" fillId="0" borderId="11" xfId="13" applyFont="1" applyBorder="1" applyAlignment="1">
      <alignment vertical="top" wrapText="1"/>
    </xf>
    <xf numFmtId="41" fontId="38" fillId="5" borderId="3" xfId="13" applyNumberFormat="1" applyFont="1" applyFill="1" applyBorder="1" applyAlignment="1">
      <alignment horizontal="center" vertical="center" wrapText="1"/>
    </xf>
    <xf numFmtId="43" fontId="38" fillId="5" borderId="3" xfId="13" applyNumberFormat="1" applyFont="1" applyFill="1" applyBorder="1" applyAlignment="1">
      <alignment vertical="center" wrapText="1"/>
    </xf>
    <xf numFmtId="41" fontId="38" fillId="5" borderId="3" xfId="13" applyNumberFormat="1" applyFont="1" applyFill="1" applyBorder="1" applyAlignment="1">
      <alignment horizontal="left" vertical="center" wrapText="1"/>
    </xf>
    <xf numFmtId="4" fontId="38" fillId="5" borderId="3" xfId="13" applyNumberFormat="1" applyFont="1" applyFill="1" applyBorder="1" applyAlignment="1">
      <alignment horizontal="right" vertical="center" wrapText="1"/>
    </xf>
    <xf numFmtId="0" fontId="38" fillId="5" borderId="10" xfId="13" applyFont="1" applyFill="1" applyBorder="1" applyAlignment="1">
      <alignment horizontal="center" vertical="center" wrapText="1"/>
    </xf>
    <xf numFmtId="9" fontId="38" fillId="5" borderId="3" xfId="13" applyNumberFormat="1" applyFont="1" applyFill="1" applyBorder="1" applyAlignment="1">
      <alignment horizontal="center" vertical="top" wrapText="1"/>
    </xf>
    <xf numFmtId="0" fontId="10" fillId="12" borderId="4" xfId="13" applyFont="1" applyFill="1" applyBorder="1" applyAlignment="1">
      <alignment vertical="center"/>
    </xf>
    <xf numFmtId="0" fontId="10" fillId="12" borderId="8" xfId="13" applyFont="1" applyFill="1" applyBorder="1" applyAlignment="1">
      <alignment vertical="center"/>
    </xf>
    <xf numFmtId="0" fontId="10" fillId="12" borderId="5" xfId="13" applyFont="1" applyFill="1" applyBorder="1" applyAlignment="1">
      <alignment vertical="center"/>
    </xf>
    <xf numFmtId="0" fontId="47" fillId="12" borderId="2" xfId="13" applyFont="1" applyFill="1" applyBorder="1" applyAlignment="1">
      <alignment horizontal="left" vertical="top" wrapText="1"/>
    </xf>
    <xf numFmtId="0" fontId="47" fillId="12" borderId="2" xfId="13" applyFont="1" applyFill="1" applyBorder="1" applyAlignment="1">
      <alignment horizontal="left"/>
    </xf>
    <xf numFmtId="0" fontId="1" fillId="12" borderId="0" xfId="13" applyFill="1"/>
    <xf numFmtId="0" fontId="37" fillId="0" borderId="6" xfId="13" applyFont="1" applyFill="1" applyBorder="1" applyAlignment="1">
      <alignment horizontal="center" vertical="center"/>
    </xf>
    <xf numFmtId="9" fontId="38" fillId="0" borderId="6" xfId="13" applyNumberFormat="1" applyFont="1" applyFill="1" applyBorder="1" applyAlignment="1">
      <alignment horizontal="center" vertical="center"/>
    </xf>
    <xf numFmtId="4" fontId="38" fillId="0" borderId="6" xfId="13" applyNumberFormat="1" applyFont="1" applyFill="1" applyBorder="1" applyAlignment="1">
      <alignment vertical="center"/>
    </xf>
    <xf numFmtId="9" fontId="38" fillId="0" borderId="6" xfId="13" applyNumberFormat="1" applyFont="1" applyFill="1" applyBorder="1" applyAlignment="1">
      <alignment horizontal="center" vertical="center" wrapText="1"/>
    </xf>
    <xf numFmtId="0" fontId="1" fillId="11" borderId="0" xfId="13" applyFill="1"/>
    <xf numFmtId="0" fontId="38" fillId="0" borderId="2" xfId="13" applyFont="1" applyFill="1" applyBorder="1" applyAlignment="1">
      <alignment horizontal="left" vertical="top" wrapText="1"/>
    </xf>
    <xf numFmtId="4" fontId="38" fillId="0" borderId="2" xfId="13" applyNumberFormat="1" applyFont="1" applyFill="1" applyBorder="1" applyAlignment="1">
      <alignment vertical="center"/>
    </xf>
    <xf numFmtId="0" fontId="38" fillId="0" borderId="5" xfId="13" applyFont="1" applyFill="1" applyBorder="1" applyAlignment="1">
      <alignment horizontal="left" vertical="top" wrapText="1"/>
    </xf>
    <xf numFmtId="9" fontId="38" fillId="0" borderId="2" xfId="13" applyNumberFormat="1" applyFont="1" applyFill="1" applyBorder="1" applyAlignment="1">
      <alignment vertical="center" wrapText="1"/>
    </xf>
    <xf numFmtId="9" fontId="38" fillId="0" borderId="2" xfId="13" quotePrefix="1" applyNumberFormat="1" applyFont="1" applyFill="1" applyBorder="1" applyAlignment="1">
      <alignment horizontal="center" vertical="center" wrapText="1"/>
    </xf>
    <xf numFmtId="4" fontId="38" fillId="0" borderId="2" xfId="13" quotePrefix="1" applyNumberFormat="1" applyFont="1" applyFill="1" applyBorder="1" applyAlignment="1">
      <alignment horizontal="center" vertical="center"/>
    </xf>
    <xf numFmtId="9" fontId="38" fillId="0" borderId="2" xfId="13" quotePrefix="1" applyNumberFormat="1" applyFont="1" applyFill="1" applyBorder="1" applyAlignment="1">
      <alignment horizontal="center" vertical="center"/>
    </xf>
    <xf numFmtId="0" fontId="38" fillId="0" borderId="8" xfId="13" applyFont="1" applyFill="1" applyBorder="1" applyAlignment="1">
      <alignment horizontal="center" vertical="center"/>
    </xf>
    <xf numFmtId="4" fontId="38" fillId="0" borderId="5" xfId="13" applyNumberFormat="1" applyFont="1" applyFill="1" applyBorder="1" applyAlignment="1">
      <alignment horizontal="right" vertical="center"/>
    </xf>
    <xf numFmtId="0" fontId="46" fillId="0" borderId="0" xfId="13" applyFont="1" applyFill="1" applyAlignment="1">
      <alignment horizontal="left"/>
    </xf>
    <xf numFmtId="0" fontId="47" fillId="10" borderId="3" xfId="13" applyFont="1" applyFill="1" applyBorder="1"/>
    <xf numFmtId="0" fontId="47" fillId="10" borderId="3" xfId="13" applyFont="1" applyFill="1" applyBorder="1" applyAlignment="1">
      <alignment vertical="top" wrapText="1"/>
    </xf>
    <xf numFmtId="0" fontId="37" fillId="0" borderId="22" xfId="13" applyFont="1" applyFill="1" applyBorder="1" applyAlignment="1">
      <alignment horizontal="left" vertical="top" wrapText="1"/>
    </xf>
    <xf numFmtId="9" fontId="38" fillId="0" borderId="23" xfId="7" applyNumberFormat="1" applyFont="1" applyFill="1" applyBorder="1" applyAlignment="1">
      <alignment horizontal="center" vertical="top" wrapText="1"/>
    </xf>
    <xf numFmtId="4" fontId="38" fillId="0" borderId="24" xfId="13" applyNumberFormat="1" applyFont="1" applyFill="1" applyBorder="1" applyAlignment="1">
      <alignment horizontal="right" vertical="center" wrapText="1"/>
    </xf>
    <xf numFmtId="0" fontId="38" fillId="0" borderId="25" xfId="13" applyFont="1" applyFill="1" applyBorder="1" applyAlignment="1">
      <alignment horizontal="center" vertical="top" wrapText="1"/>
    </xf>
    <xf numFmtId="0" fontId="37" fillId="0" borderId="23" xfId="13" applyFont="1" applyFill="1" applyBorder="1" applyAlignment="1">
      <alignment horizontal="left" vertical="top" wrapText="1"/>
    </xf>
    <xf numFmtId="0" fontId="38" fillId="0" borderId="26" xfId="13" applyFont="1" applyFill="1" applyBorder="1" applyAlignment="1">
      <alignment horizontal="left" vertical="top" wrapText="1"/>
    </xf>
    <xf numFmtId="9" fontId="38" fillId="0" borderId="25" xfId="13" applyNumberFormat="1" applyFont="1" applyFill="1" applyBorder="1" applyAlignment="1">
      <alignment horizontal="center" vertical="top" wrapText="1"/>
    </xf>
    <xf numFmtId="41" fontId="37" fillId="0" borderId="23" xfId="7" applyFont="1" applyFill="1" applyBorder="1" applyAlignment="1">
      <alignment vertical="top" wrapText="1"/>
    </xf>
    <xf numFmtId="41" fontId="38" fillId="0" borderId="25" xfId="7" applyFont="1" applyFill="1" applyBorder="1" applyAlignment="1">
      <alignment horizontal="left" vertical="top" wrapText="1"/>
    </xf>
    <xf numFmtId="9" fontId="38" fillId="0" borderId="2" xfId="7" applyNumberFormat="1" applyFont="1" applyFill="1" applyBorder="1" applyAlignment="1">
      <alignment horizontal="center" vertical="center"/>
    </xf>
    <xf numFmtId="4" fontId="38" fillId="0" borderId="2" xfId="7" applyNumberFormat="1" applyFont="1" applyFill="1" applyBorder="1" applyAlignment="1">
      <alignment horizontal="right" vertical="center" wrapText="1"/>
    </xf>
    <xf numFmtId="4" fontId="38" fillId="0" borderId="2" xfId="7" applyNumberFormat="1" applyFont="1" applyFill="1" applyBorder="1" applyAlignment="1">
      <alignment horizontal="center" vertical="center" wrapText="1"/>
    </xf>
    <xf numFmtId="4" fontId="38" fillId="0" borderId="2" xfId="7" applyNumberFormat="1" applyFont="1" applyFill="1" applyBorder="1" applyAlignment="1">
      <alignment horizontal="right" vertical="center"/>
    </xf>
    <xf numFmtId="0" fontId="46" fillId="10" borderId="0" xfId="13" applyFont="1" applyFill="1"/>
    <xf numFmtId="9" fontId="38" fillId="0" borderId="23" xfId="13" applyNumberFormat="1" applyFont="1" applyFill="1" applyBorder="1" applyAlignment="1">
      <alignment horizontal="center" vertical="center" wrapText="1"/>
    </xf>
    <xf numFmtId="4" fontId="38" fillId="0" borderId="25" xfId="13" applyNumberFormat="1" applyFont="1" applyFill="1" applyBorder="1" applyAlignment="1">
      <alignment horizontal="right" vertical="center" wrapText="1"/>
    </xf>
    <xf numFmtId="9" fontId="38" fillId="0" borderId="25" xfId="13" applyNumberFormat="1" applyFont="1" applyFill="1" applyBorder="1" applyAlignment="1">
      <alignment horizontal="center" vertical="center" wrapText="1"/>
    </xf>
    <xf numFmtId="4" fontId="38" fillId="0" borderId="25" xfId="13" applyNumberFormat="1" applyFont="1" applyFill="1" applyBorder="1" applyAlignment="1">
      <alignment vertical="center" wrapText="1"/>
    </xf>
    <xf numFmtId="9" fontId="38" fillId="0" borderId="25" xfId="13" quotePrefix="1" applyNumberFormat="1" applyFont="1" applyFill="1" applyBorder="1" applyAlignment="1">
      <alignment horizontal="center" vertical="center" wrapText="1"/>
    </xf>
    <xf numFmtId="4" fontId="38" fillId="0" borderId="25" xfId="7" quotePrefix="1" applyNumberFormat="1" applyFont="1" applyFill="1" applyBorder="1" applyAlignment="1">
      <alignment horizontal="right" vertical="center" wrapText="1"/>
    </xf>
    <xf numFmtId="0" fontId="37" fillId="10" borderId="8" xfId="13" applyFont="1" applyFill="1" applyBorder="1" applyAlignment="1">
      <alignment vertical="center"/>
    </xf>
    <xf numFmtId="0" fontId="47" fillId="10" borderId="8" xfId="13" applyFont="1" applyFill="1" applyBorder="1" applyAlignment="1">
      <alignment vertical="top" wrapText="1"/>
    </xf>
    <xf numFmtId="0" fontId="47" fillId="10" borderId="8" xfId="13" applyFont="1" applyFill="1" applyBorder="1" applyAlignment="1">
      <alignment vertical="center"/>
    </xf>
    <xf numFmtId="0" fontId="37" fillId="3" borderId="27" xfId="13" applyFont="1" applyFill="1" applyBorder="1" applyAlignment="1">
      <alignment horizontal="left" vertical="top" wrapText="1"/>
    </xf>
    <xf numFmtId="0" fontId="38" fillId="3" borderId="6" xfId="13" applyFont="1" applyFill="1" applyBorder="1" applyAlignment="1">
      <alignment horizontal="left" vertical="top" wrapText="1"/>
    </xf>
    <xf numFmtId="9" fontId="38" fillId="3" borderId="25" xfId="13" applyNumberFormat="1" applyFont="1" applyFill="1" applyBorder="1" applyAlignment="1">
      <alignment horizontal="center" vertical="top" wrapText="1"/>
    </xf>
    <xf numFmtId="9" fontId="38" fillId="3" borderId="20" xfId="13" applyNumberFormat="1" applyFont="1" applyFill="1" applyBorder="1" applyAlignment="1">
      <alignment horizontal="center" vertical="center"/>
    </xf>
    <xf numFmtId="4" fontId="38" fillId="3" borderId="6" xfId="7" applyNumberFormat="1" applyFont="1" applyFill="1" applyBorder="1" applyAlignment="1">
      <alignment horizontal="right" vertical="center" wrapText="1"/>
    </xf>
    <xf numFmtId="9" fontId="38" fillId="3" borderId="6" xfId="13" applyNumberFormat="1" applyFont="1" applyFill="1" applyBorder="1" applyAlignment="1">
      <alignment horizontal="center" vertical="center" wrapText="1"/>
    </xf>
    <xf numFmtId="4" fontId="38" fillId="3" borderId="6" xfId="7" applyNumberFormat="1" applyFont="1" applyFill="1" applyBorder="1" applyAlignment="1">
      <alignment vertical="center" wrapText="1"/>
    </xf>
    <xf numFmtId="0" fontId="38" fillId="3" borderId="26" xfId="13" applyFont="1" applyFill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center" wrapText="1"/>
    </xf>
    <xf numFmtId="0" fontId="20" fillId="0" borderId="2" xfId="0" quotePrefix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37" fillId="5" borderId="11" xfId="13" applyFont="1" applyFill="1" applyBorder="1" applyAlignment="1">
      <alignment horizontal="left" vertical="top" wrapText="1"/>
    </xf>
    <xf numFmtId="9" fontId="38" fillId="10" borderId="2" xfId="13" applyNumberFormat="1" applyFont="1" applyFill="1" applyBorder="1" applyAlignment="1">
      <alignment horizontal="center" vertical="top" wrapText="1"/>
    </xf>
    <xf numFmtId="9" fontId="38" fillId="10" borderId="2" xfId="13" applyNumberFormat="1" applyFont="1" applyFill="1" applyBorder="1" applyAlignment="1">
      <alignment horizontal="center" vertical="center"/>
    </xf>
    <xf numFmtId="4" fontId="38" fillId="10" borderId="2" xfId="7" applyNumberFormat="1" applyFont="1" applyFill="1" applyBorder="1" applyAlignment="1">
      <alignment horizontal="right" vertical="center" wrapText="1"/>
    </xf>
    <xf numFmtId="9" fontId="38" fillId="10" borderId="2" xfId="13" applyNumberFormat="1" applyFont="1" applyFill="1" applyBorder="1" applyAlignment="1">
      <alignment horizontal="center" vertical="center" wrapText="1"/>
    </xf>
    <xf numFmtId="4" fontId="38" fillId="10" borderId="2" xfId="7" applyNumberFormat="1" applyFont="1" applyFill="1" applyBorder="1" applyAlignment="1">
      <alignment vertical="center" wrapText="1"/>
    </xf>
    <xf numFmtId="0" fontId="38" fillId="10" borderId="2" xfId="13" applyFont="1" applyFill="1" applyBorder="1" applyAlignment="1">
      <alignment horizontal="center" vertical="top" wrapText="1"/>
    </xf>
    <xf numFmtId="0" fontId="37" fillId="0" borderId="2" xfId="13" applyFont="1" applyFill="1" applyBorder="1" applyAlignment="1">
      <alignment horizontal="left" vertical="center" wrapText="1"/>
    </xf>
    <xf numFmtId="9" fontId="38" fillId="0" borderId="10" xfId="13" applyNumberFormat="1" applyFont="1" applyFill="1" applyBorder="1" applyAlignment="1">
      <alignment horizontal="center" vertical="top" wrapText="1"/>
    </xf>
    <xf numFmtId="9" fontId="37" fillId="0" borderId="8" xfId="13" applyNumberFormat="1" applyFont="1" applyFill="1" applyBorder="1" applyAlignment="1">
      <alignment horizontal="center" vertical="center" wrapText="1"/>
    </xf>
    <xf numFmtId="43" fontId="37" fillId="0" borderId="2" xfId="13" applyNumberFormat="1" applyFont="1" applyFill="1" applyBorder="1" applyAlignment="1">
      <alignment horizontal="center" vertical="center" wrapText="1"/>
    </xf>
    <xf numFmtId="3" fontId="37" fillId="0" borderId="4" xfId="13" applyNumberFormat="1" applyFont="1" applyFill="1" applyBorder="1" applyAlignment="1">
      <alignment horizontal="center" vertical="center" wrapText="1"/>
    </xf>
    <xf numFmtId="9" fontId="38" fillId="0" borderId="2" xfId="13" applyNumberFormat="1" applyFont="1" applyFill="1" applyBorder="1" applyAlignment="1">
      <alignment horizontal="center" vertical="top" wrapText="1"/>
    </xf>
    <xf numFmtId="0" fontId="46" fillId="10" borderId="4" xfId="13" applyFont="1" applyFill="1" applyBorder="1" applyAlignment="1">
      <alignment vertical="center"/>
    </xf>
    <xf numFmtId="0" fontId="38" fillId="0" borderId="5" xfId="13" applyFont="1" applyFill="1" applyBorder="1" applyAlignment="1">
      <alignment vertical="top" wrapText="1"/>
    </xf>
    <xf numFmtId="41" fontId="37" fillId="0" borderId="20" xfId="7" applyFont="1" applyFill="1" applyBorder="1" applyAlignment="1">
      <alignment horizontal="center" vertical="center" wrapText="1"/>
    </xf>
    <xf numFmtId="0" fontId="37" fillId="0" borderId="2" xfId="13" applyFont="1" applyFill="1" applyBorder="1" applyAlignment="1">
      <alignment vertical="center" wrapText="1"/>
    </xf>
    <xf numFmtId="9" fontId="38" fillId="0" borderId="5" xfId="13" applyNumberFormat="1" applyFont="1" applyFill="1" applyBorder="1" applyAlignment="1">
      <alignment horizontal="center" vertical="top" wrapText="1"/>
    </xf>
    <xf numFmtId="0" fontId="33" fillId="0" borderId="2" xfId="13" applyFont="1" applyFill="1" applyBorder="1"/>
    <xf numFmtId="0" fontId="38" fillId="0" borderId="4" xfId="13" applyFont="1" applyFill="1" applyBorder="1" applyAlignment="1">
      <alignment horizontal="center" vertical="top" wrapText="1"/>
    </xf>
    <xf numFmtId="43" fontId="38" fillId="0" borderId="2" xfId="13" applyNumberFormat="1" applyFont="1" applyFill="1" applyBorder="1" applyAlignment="1">
      <alignment horizontal="center" vertical="center" wrapText="1"/>
    </xf>
    <xf numFmtId="49" fontId="47" fillId="10" borderId="2" xfId="13" applyNumberFormat="1" applyFont="1" applyFill="1" applyBorder="1" applyAlignment="1">
      <alignment vertical="center" wrapText="1"/>
    </xf>
    <xf numFmtId="49" fontId="38" fillId="10" borderId="3" xfId="13" applyNumberFormat="1" applyFont="1" applyFill="1" applyBorder="1" applyAlignment="1">
      <alignment horizontal="center" vertical="top" wrapText="1"/>
    </xf>
    <xf numFmtId="49" fontId="38" fillId="10" borderId="3" xfId="13" applyNumberFormat="1" applyFont="1" applyFill="1" applyBorder="1" applyAlignment="1">
      <alignment horizontal="center" vertical="center" wrapText="1"/>
    </xf>
    <xf numFmtId="165" fontId="38" fillId="10" borderId="3" xfId="10" applyNumberFormat="1" applyFont="1" applyFill="1" applyBorder="1" applyAlignment="1">
      <alignment horizontal="center" vertical="center" wrapText="1"/>
    </xf>
    <xf numFmtId="0" fontId="37" fillId="0" borderId="2" xfId="13" applyFont="1" applyFill="1" applyBorder="1" applyAlignment="1">
      <alignment vertical="top"/>
    </xf>
    <xf numFmtId="2" fontId="37" fillId="0" borderId="2" xfId="13" applyNumberFormat="1" applyFont="1" applyFill="1" applyBorder="1" applyAlignment="1">
      <alignment horizontal="center" vertical="top" wrapText="1"/>
    </xf>
    <xf numFmtId="2" fontId="37" fillId="0" borderId="2" xfId="13" applyNumberFormat="1" applyFont="1" applyFill="1" applyBorder="1" applyAlignment="1">
      <alignment horizontal="center" vertical="center"/>
    </xf>
    <xf numFmtId="0" fontId="33" fillId="0" borderId="0" xfId="13" applyFont="1"/>
    <xf numFmtId="0" fontId="33" fillId="5" borderId="0" xfId="13" applyFont="1" applyFill="1"/>
    <xf numFmtId="0" fontId="33" fillId="0" borderId="0" xfId="13" applyFont="1" applyFill="1"/>
    <xf numFmtId="2" fontId="37" fillId="0" borderId="2" xfId="7" applyNumberFormat="1" applyFont="1" applyFill="1" applyBorder="1" applyAlignment="1">
      <alignment horizontal="center" vertical="top" wrapText="1"/>
    </xf>
    <xf numFmtId="0" fontId="33" fillId="0" borderId="0" xfId="13" applyFont="1" applyFill="1" applyAlignment="1">
      <alignment vertical="top" wrapText="1"/>
    </xf>
    <xf numFmtId="0" fontId="37" fillId="0" borderId="0" xfId="13" applyFont="1" applyFill="1" applyAlignment="1">
      <alignment vertical="top" wrapText="1"/>
    </xf>
    <xf numFmtId="0" fontId="37" fillId="0" borderId="0" xfId="13" applyFont="1" applyFill="1"/>
    <xf numFmtId="49" fontId="37" fillId="0" borderId="2" xfId="13" quotePrefix="1" applyNumberFormat="1" applyFont="1" applyFill="1" applyBorder="1" applyAlignment="1">
      <alignment horizontal="left" vertical="center" wrapText="1"/>
    </xf>
    <xf numFmtId="49" fontId="37" fillId="0" borderId="2" xfId="13" applyNumberFormat="1" applyFont="1" applyFill="1" applyBorder="1" applyAlignment="1">
      <alignment horizontal="left" vertical="center" wrapText="1"/>
    </xf>
    <xf numFmtId="49" fontId="37" fillId="0" borderId="2" xfId="13" applyNumberFormat="1" applyFont="1" applyFill="1" applyBorder="1" applyAlignment="1">
      <alignment horizontal="center" vertical="top" wrapText="1"/>
    </xf>
    <xf numFmtId="49" fontId="37" fillId="0" borderId="2" xfId="13" applyNumberFormat="1" applyFont="1" applyFill="1" applyBorder="1" applyAlignment="1">
      <alignment horizontal="center" vertical="center" wrapText="1"/>
    </xf>
    <xf numFmtId="39" fontId="37" fillId="0" borderId="2" xfId="10" applyNumberFormat="1" applyFont="1" applyFill="1" applyBorder="1" applyAlignment="1">
      <alignment horizontal="right" vertical="center" wrapText="1"/>
    </xf>
    <xf numFmtId="165" fontId="37" fillId="0" borderId="2" xfId="10" applyNumberFormat="1" applyFont="1" applyFill="1" applyBorder="1" applyAlignment="1">
      <alignment horizontal="center" vertical="center" wrapText="1"/>
    </xf>
    <xf numFmtId="49" fontId="37" fillId="0" borderId="2" xfId="13" quotePrefix="1" applyNumberFormat="1" applyFont="1" applyFill="1" applyBorder="1" applyAlignment="1">
      <alignment vertical="center"/>
    </xf>
    <xf numFmtId="49" fontId="37" fillId="0" borderId="2" xfId="13" applyNumberFormat="1" applyFont="1" applyFill="1" applyBorder="1" applyAlignment="1">
      <alignment vertical="center"/>
    </xf>
    <xf numFmtId="49" fontId="37" fillId="0" borderId="2" xfId="13" applyNumberFormat="1" applyFont="1" applyFill="1" applyBorder="1" applyAlignment="1">
      <alignment vertical="top" wrapText="1"/>
    </xf>
    <xf numFmtId="39" fontId="37" fillId="0" borderId="2" xfId="10" applyNumberFormat="1" applyFont="1" applyFill="1" applyBorder="1" applyAlignment="1">
      <alignment vertical="center" wrapText="1"/>
    </xf>
    <xf numFmtId="165" fontId="37" fillId="0" borderId="2" xfId="10" applyNumberFormat="1" applyFont="1" applyFill="1" applyBorder="1" applyAlignment="1">
      <alignment vertical="center" wrapText="1"/>
    </xf>
    <xf numFmtId="49" fontId="37" fillId="0" borderId="2" xfId="13" quotePrefix="1" applyNumberFormat="1" applyFont="1" applyFill="1" applyBorder="1" applyAlignment="1">
      <alignment vertical="center" wrapText="1"/>
    </xf>
    <xf numFmtId="49" fontId="37" fillId="0" borderId="2" xfId="13" applyNumberFormat="1" applyFont="1" applyFill="1" applyBorder="1" applyAlignment="1">
      <alignment vertical="center" wrapText="1"/>
    </xf>
    <xf numFmtId="49" fontId="38" fillId="10" borderId="2" xfId="13" applyNumberFormat="1" applyFont="1" applyFill="1" applyBorder="1" applyAlignment="1">
      <alignment horizontal="center" vertical="top" wrapText="1"/>
    </xf>
    <xf numFmtId="49" fontId="38" fillId="10" borderId="2" xfId="13" applyNumberFormat="1" applyFont="1" applyFill="1" applyBorder="1" applyAlignment="1">
      <alignment horizontal="center" vertical="center" wrapText="1"/>
    </xf>
    <xf numFmtId="165" fontId="38" fillId="10" borderId="2" xfId="10" applyNumberFormat="1" applyFont="1" applyFill="1" applyBorder="1" applyAlignment="1">
      <alignment horizontal="center" vertical="center" wrapText="1"/>
    </xf>
    <xf numFmtId="0" fontId="48" fillId="0" borderId="2" xfId="13" applyFont="1" applyFill="1" applyBorder="1" applyAlignment="1">
      <alignment vertical="top" wrapText="1"/>
    </xf>
    <xf numFmtId="9" fontId="48" fillId="0" borderId="2" xfId="13" applyNumberFormat="1" applyFont="1" applyFill="1" applyBorder="1" applyAlignment="1">
      <alignment horizontal="center" vertical="top" wrapText="1"/>
    </xf>
    <xf numFmtId="0" fontId="48" fillId="0" borderId="2" xfId="13" applyFont="1" applyFill="1" applyBorder="1" applyAlignment="1">
      <alignment horizontal="center" vertical="center" wrapText="1"/>
    </xf>
    <xf numFmtId="43" fontId="48" fillId="0" borderId="2" xfId="10" applyFont="1" applyFill="1" applyBorder="1" applyAlignment="1">
      <alignment vertical="center" wrapText="1"/>
    </xf>
    <xf numFmtId="43" fontId="48" fillId="0" borderId="2" xfId="13" applyNumberFormat="1" applyFont="1" applyFill="1" applyBorder="1" applyAlignment="1">
      <alignment vertical="center" wrapText="1"/>
    </xf>
    <xf numFmtId="0" fontId="48" fillId="0" borderId="2" xfId="13" applyFont="1" applyFill="1" applyBorder="1" applyAlignment="1">
      <alignment horizontal="center" vertical="top" wrapText="1"/>
    </xf>
    <xf numFmtId="43" fontId="37" fillId="0" borderId="2" xfId="10" applyFont="1" applyFill="1" applyBorder="1" applyAlignment="1">
      <alignment vertical="center" wrapText="1"/>
    </xf>
    <xf numFmtId="41" fontId="37" fillId="0" borderId="2" xfId="13" applyNumberFormat="1" applyFont="1" applyFill="1" applyBorder="1" applyAlignment="1">
      <alignment vertical="center" wrapText="1"/>
    </xf>
    <xf numFmtId="4" fontId="37" fillId="0" borderId="2" xfId="13" applyNumberFormat="1" applyFont="1" applyFill="1" applyBorder="1" applyAlignment="1">
      <alignment horizontal="right" vertical="center" wrapText="1"/>
    </xf>
    <xf numFmtId="43" fontId="37" fillId="0" borderId="2" xfId="13" applyNumberFormat="1" applyFont="1" applyFill="1" applyBorder="1" applyAlignment="1">
      <alignment vertical="center" wrapText="1"/>
    </xf>
    <xf numFmtId="4" fontId="37" fillId="0" borderId="2" xfId="13" quotePrefix="1" applyNumberFormat="1" applyFont="1" applyFill="1" applyBorder="1" applyAlignment="1">
      <alignment horizontal="center" vertical="top" wrapText="1"/>
    </xf>
    <xf numFmtId="4" fontId="37" fillId="0" borderId="2" xfId="13" applyNumberFormat="1" applyFont="1" applyFill="1" applyBorder="1" applyAlignment="1">
      <alignment vertical="center" wrapText="1"/>
    </xf>
    <xf numFmtId="49" fontId="44" fillId="10" borderId="2" xfId="13" applyNumberFormat="1" applyFont="1" applyFill="1" applyBorder="1" applyAlignment="1">
      <alignment vertical="center" wrapText="1"/>
    </xf>
    <xf numFmtId="49" fontId="37" fillId="10" borderId="3" xfId="13" applyNumberFormat="1" applyFont="1" applyFill="1" applyBorder="1" applyAlignment="1">
      <alignment horizontal="center" vertical="top" wrapText="1"/>
    </xf>
    <xf numFmtId="49" fontId="37" fillId="10" borderId="3" xfId="13" applyNumberFormat="1" applyFont="1" applyFill="1" applyBorder="1" applyAlignment="1">
      <alignment horizontal="center" vertical="center" wrapText="1"/>
    </xf>
    <xf numFmtId="165" fontId="37" fillId="10" borderId="3" xfId="10" applyNumberFormat="1" applyFont="1" applyFill="1" applyBorder="1" applyAlignment="1">
      <alignment horizontal="center" vertical="center" wrapText="1"/>
    </xf>
    <xf numFmtId="49" fontId="37" fillId="0" borderId="2" xfId="13" quotePrefix="1" applyNumberFormat="1" applyFont="1" applyFill="1" applyBorder="1" applyAlignment="1">
      <alignment horizontal="center" vertical="center" wrapText="1"/>
    </xf>
    <xf numFmtId="49" fontId="37" fillId="0" borderId="3" xfId="13" applyNumberFormat="1" applyFont="1" applyFill="1" applyBorder="1" applyAlignment="1">
      <alignment vertical="top" wrapText="1"/>
    </xf>
    <xf numFmtId="0" fontId="37" fillId="0" borderId="2" xfId="13" applyFont="1" applyFill="1" applyBorder="1" applyAlignment="1">
      <alignment horizontal="left" vertical="top"/>
    </xf>
    <xf numFmtId="49" fontId="37" fillId="0" borderId="2" xfId="13" quotePrefix="1" applyNumberFormat="1" applyFont="1" applyFill="1" applyBorder="1" applyAlignment="1">
      <alignment horizontal="center" vertical="top" wrapText="1"/>
    </xf>
    <xf numFmtId="39" fontId="37" fillId="0" borderId="2" xfId="13" applyNumberFormat="1" applyFont="1" applyFill="1" applyBorder="1" applyAlignment="1">
      <alignment horizontal="right" vertical="center" wrapText="1"/>
    </xf>
    <xf numFmtId="49" fontId="37" fillId="0" borderId="4" xfId="13" applyNumberFormat="1" applyFont="1" applyFill="1" applyBorder="1" applyAlignment="1">
      <alignment horizontal="center" vertical="top" wrapText="1"/>
    </xf>
    <xf numFmtId="49" fontId="38" fillId="0" borderId="2" xfId="13" applyNumberFormat="1" applyFont="1" applyFill="1" applyBorder="1" applyAlignment="1">
      <alignment horizontal="left" vertical="top" wrapText="1"/>
    </xf>
    <xf numFmtId="49" fontId="38" fillId="0" borderId="2" xfId="13" quotePrefix="1" applyNumberFormat="1" applyFont="1" applyFill="1" applyBorder="1" applyAlignment="1">
      <alignment horizontal="center" vertical="top" wrapText="1"/>
    </xf>
    <xf numFmtId="39" fontId="38" fillId="0" borderId="2" xfId="13" applyNumberFormat="1" applyFont="1" applyFill="1" applyBorder="1" applyAlignment="1">
      <alignment horizontal="right" vertical="center" wrapText="1"/>
    </xf>
    <xf numFmtId="39" fontId="38" fillId="0" borderId="6" xfId="13" applyNumberFormat="1" applyFont="1" applyFill="1" applyBorder="1" applyAlignment="1">
      <alignment horizontal="right" vertical="center" wrapText="1"/>
    </xf>
    <xf numFmtId="0" fontId="38" fillId="0" borderId="28" xfId="13" applyFont="1" applyFill="1" applyBorder="1" applyAlignment="1">
      <alignment horizontal="center" vertical="center" wrapText="1"/>
    </xf>
    <xf numFmtId="49" fontId="38" fillId="0" borderId="2" xfId="13" applyNumberFormat="1" applyFont="1" applyFill="1" applyBorder="1" applyAlignment="1">
      <alignment horizontal="center" vertical="top" wrapText="1"/>
    </xf>
    <xf numFmtId="0" fontId="38" fillId="0" borderId="2" xfId="13" applyFont="1" applyFill="1" applyBorder="1" applyAlignment="1">
      <alignment horizontal="justify" vertical="top" wrapText="1"/>
    </xf>
    <xf numFmtId="0" fontId="38" fillId="0" borderId="29" xfId="13" applyFont="1" applyFill="1" applyBorder="1" applyAlignment="1">
      <alignment horizontal="center" vertical="center" wrapText="1"/>
    </xf>
    <xf numFmtId="39" fontId="38" fillId="0" borderId="29" xfId="13" applyNumberFormat="1" applyFont="1" applyFill="1" applyBorder="1" applyAlignment="1">
      <alignment horizontal="right" vertical="center" wrapText="1"/>
    </xf>
    <xf numFmtId="0" fontId="38" fillId="0" borderId="30" xfId="13" applyFont="1" applyFill="1" applyBorder="1" applyAlignment="1">
      <alignment horizontal="center" vertical="center" wrapText="1"/>
    </xf>
    <xf numFmtId="0" fontId="38" fillId="0" borderId="31" xfId="13" applyFont="1" applyFill="1" applyBorder="1" applyAlignment="1">
      <alignment horizontal="center" vertical="center" wrapText="1"/>
    </xf>
    <xf numFmtId="39" fontId="38" fillId="0" borderId="1" xfId="13" applyNumberFormat="1" applyFont="1" applyFill="1" applyBorder="1" applyAlignment="1">
      <alignment horizontal="right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/>
    </xf>
    <xf numFmtId="0" fontId="24" fillId="0" borderId="4" xfId="0" applyFont="1" applyFill="1" applyBorder="1" applyAlignment="1">
      <alignment vertical="top" wrapText="1"/>
    </xf>
    <xf numFmtId="3" fontId="24" fillId="0" borderId="2" xfId="0" applyNumberFormat="1" applyFont="1" applyFill="1" applyBorder="1" applyAlignment="1">
      <alignment horizontal="center" vertical="top" wrapText="1"/>
    </xf>
    <xf numFmtId="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vertical="center" wrapText="1"/>
    </xf>
    <xf numFmtId="4" fontId="24" fillId="0" borderId="2" xfId="0" applyNumberFormat="1" applyFont="1" applyFill="1" applyBorder="1" applyAlignment="1">
      <alignment horizontal="right" vertical="center" wrapText="1"/>
    </xf>
    <xf numFmtId="4" fontId="38" fillId="0" borderId="2" xfId="0" applyNumberFormat="1" applyFont="1" applyFill="1" applyBorder="1" applyAlignment="1">
      <alignment horizontal="right" vertical="center" wrapText="1"/>
    </xf>
    <xf numFmtId="9" fontId="24" fillId="0" borderId="2" xfId="0" applyNumberFormat="1" applyFont="1" applyFill="1" applyBorder="1" applyAlignment="1">
      <alignment horizontal="left" vertical="center" wrapText="1"/>
    </xf>
    <xf numFmtId="0" fontId="37" fillId="0" borderId="2" xfId="0" quotePrefix="1" applyFont="1" applyFill="1" applyBorder="1" applyAlignment="1">
      <alignment horizontal="center" vertical="center" wrapText="1"/>
    </xf>
    <xf numFmtId="0" fontId="37" fillId="0" borderId="2" xfId="4" applyFont="1" applyFill="1" applyBorder="1" applyAlignment="1" applyProtection="1">
      <alignment horizontal="left" vertical="top" wrapText="1"/>
    </xf>
    <xf numFmtId="9" fontId="24" fillId="0" borderId="2" xfId="3" applyFont="1" applyFill="1" applyBorder="1" applyAlignment="1">
      <alignment horizontal="center" vertical="center" wrapText="1"/>
    </xf>
    <xf numFmtId="0" fontId="49" fillId="10" borderId="2" xfId="13" applyFont="1" applyFill="1" applyBorder="1" applyAlignment="1">
      <alignment vertical="center" wrapText="1"/>
    </xf>
    <xf numFmtId="0" fontId="49" fillId="10" borderId="2" xfId="13" applyFont="1" applyFill="1" applyBorder="1" applyAlignment="1">
      <alignment vertical="top" wrapText="1"/>
    </xf>
    <xf numFmtId="0" fontId="49" fillId="10" borderId="2" xfId="13" applyFont="1" applyFill="1" applyBorder="1" applyAlignment="1">
      <alignment horizontal="center" vertical="center" wrapText="1"/>
    </xf>
    <xf numFmtId="165" fontId="49" fillId="10" borderId="2" xfId="10" applyNumberFormat="1" applyFont="1" applyFill="1" applyBorder="1" applyAlignment="1">
      <alignment horizontal="center" vertical="center" wrapText="1"/>
    </xf>
    <xf numFmtId="0" fontId="49" fillId="10" borderId="2" xfId="13" applyFont="1" applyFill="1" applyBorder="1" applyAlignment="1">
      <alignment horizontal="center" vertical="top" wrapText="1"/>
    </xf>
    <xf numFmtId="4" fontId="38" fillId="0" borderId="2" xfId="13" applyNumberFormat="1" applyFont="1" applyFill="1" applyBorder="1" applyAlignment="1">
      <alignment vertical="center" wrapText="1"/>
    </xf>
    <xf numFmtId="0" fontId="50" fillId="6" borderId="2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2" xfId="0" applyFont="1" applyFill="1" applyBorder="1" applyAlignment="1">
      <alignment vertical="center" wrapText="1"/>
    </xf>
    <xf numFmtId="165" fontId="24" fillId="6" borderId="2" xfId="1" applyNumberFormat="1" applyFont="1" applyFill="1" applyBorder="1" applyAlignment="1">
      <alignment vertical="center" wrapText="1"/>
    </xf>
    <xf numFmtId="41" fontId="24" fillId="6" borderId="2" xfId="2" applyFont="1" applyFill="1" applyBorder="1" applyAlignment="1">
      <alignment horizontal="center" vertical="center" wrapText="1"/>
    </xf>
    <xf numFmtId="4" fontId="24" fillId="6" borderId="2" xfId="0" applyNumberFormat="1" applyFont="1" applyFill="1" applyBorder="1" applyAlignment="1">
      <alignment horizontal="right" vertical="center" wrapText="1"/>
    </xf>
    <xf numFmtId="0" fontId="24" fillId="6" borderId="2" xfId="0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center" wrapText="1"/>
    </xf>
    <xf numFmtId="0" fontId="37" fillId="0" borderId="2" xfId="0" quotePrefix="1" applyFont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left" vertical="top" wrapText="1"/>
    </xf>
    <xf numFmtId="0" fontId="24" fillId="0" borderId="4" xfId="0" applyFont="1" applyBorder="1" applyAlignment="1">
      <alignment vertical="top" wrapText="1"/>
    </xf>
    <xf numFmtId="0" fontId="24" fillId="0" borderId="2" xfId="0" applyFont="1" applyBorder="1" applyAlignment="1">
      <alignment horizontal="center" vertical="center" wrapText="1"/>
    </xf>
    <xf numFmtId="39" fontId="24" fillId="0" borderId="2" xfId="1" applyNumberFormat="1" applyFont="1" applyBorder="1" applyAlignment="1">
      <alignment vertical="center" wrapText="1"/>
    </xf>
    <xf numFmtId="4" fontId="24" fillId="0" borderId="2" xfId="1" applyNumberFormat="1" applyFont="1" applyBorder="1" applyAlignment="1">
      <alignment horizontal="right" vertical="center" wrapText="1"/>
    </xf>
    <xf numFmtId="4" fontId="24" fillId="0" borderId="2" xfId="1" applyNumberFormat="1" applyFont="1" applyFill="1" applyBorder="1" applyAlignment="1">
      <alignment horizontal="right" vertical="center" wrapText="1"/>
    </xf>
    <xf numFmtId="39" fontId="24" fillId="0" borderId="2" xfId="1" applyNumberFormat="1" applyFont="1" applyFill="1" applyBorder="1" applyAlignment="1">
      <alignment horizontal="right" vertical="center" wrapText="1"/>
    </xf>
    <xf numFmtId="4" fontId="24" fillId="0" borderId="2" xfId="2" applyNumberFormat="1" applyFont="1" applyFill="1" applyBorder="1" applyAlignment="1">
      <alignment horizontal="right" vertical="center" wrapText="1"/>
    </xf>
    <xf numFmtId="39" fontId="24" fillId="0" borderId="2" xfId="0" applyNumberFormat="1" applyFont="1" applyFill="1" applyBorder="1" applyAlignment="1">
      <alignment horizontal="right" vertical="center" wrapText="1"/>
    </xf>
    <xf numFmtId="0" fontId="37" fillId="0" borderId="6" xfId="0" applyFont="1" applyBorder="1" applyAlignment="1">
      <alignment horizontal="center" vertical="center" wrapText="1"/>
    </xf>
    <xf numFmtId="0" fontId="10" fillId="10" borderId="2" xfId="13" applyFont="1" applyFill="1" applyBorder="1" applyAlignment="1">
      <alignment vertical="center"/>
    </xf>
    <xf numFmtId="0" fontId="33" fillId="10" borderId="2" xfId="13" applyFont="1" applyFill="1" applyBorder="1"/>
    <xf numFmtId="0" fontId="1" fillId="10" borderId="2" xfId="13" applyFill="1" applyBorder="1" applyAlignment="1">
      <alignment vertical="top" wrapText="1"/>
    </xf>
    <xf numFmtId="0" fontId="1" fillId="10" borderId="2" xfId="13" applyFill="1" applyBorder="1"/>
    <xf numFmtId="0" fontId="1" fillId="0" borderId="2" xfId="13" applyBorder="1"/>
    <xf numFmtId="0" fontId="37" fillId="3" borderId="6" xfId="13" applyFont="1" applyFill="1" applyBorder="1" applyAlignment="1">
      <alignment horizontal="center" vertical="center" wrapText="1"/>
    </xf>
    <xf numFmtId="0" fontId="37" fillId="3" borderId="6" xfId="13" applyFont="1" applyFill="1" applyBorder="1" applyAlignment="1">
      <alignment horizontal="left" vertical="top" wrapText="1"/>
    </xf>
    <xf numFmtId="0" fontId="37" fillId="3" borderId="6" xfId="13" applyFont="1" applyFill="1" applyBorder="1" applyAlignment="1">
      <alignment horizontal="left" vertical="top" wrapText="1" readingOrder="1"/>
    </xf>
    <xf numFmtId="0" fontId="37" fillId="3" borderId="6" xfId="13" applyFont="1" applyFill="1" applyBorder="1" applyAlignment="1">
      <alignment horizontal="center" vertical="top" wrapText="1"/>
    </xf>
    <xf numFmtId="49" fontId="37" fillId="3" borderId="6" xfId="13" applyNumberFormat="1" applyFont="1" applyFill="1" applyBorder="1" applyAlignment="1">
      <alignment horizontal="center" vertical="center" wrapText="1"/>
    </xf>
    <xf numFmtId="4" fontId="37" fillId="3" borderId="6" xfId="10" applyNumberFormat="1" applyFont="1" applyFill="1" applyBorder="1" applyAlignment="1">
      <alignment horizontal="right" vertical="center" wrapText="1"/>
    </xf>
    <xf numFmtId="39" fontId="37" fillId="3" borderId="6" xfId="13" applyNumberFormat="1" applyFont="1" applyFill="1" applyBorder="1" applyAlignment="1">
      <alignment horizontal="center" vertical="center"/>
    </xf>
    <xf numFmtId="4" fontId="37" fillId="3" borderId="6" xfId="10" applyNumberFormat="1" applyFont="1" applyFill="1" applyBorder="1" applyAlignment="1">
      <alignment horizontal="center" vertical="center" wrapText="1"/>
    </xf>
    <xf numFmtId="0" fontId="37" fillId="3" borderId="2" xfId="13" applyFont="1" applyFill="1" applyBorder="1" applyAlignment="1">
      <alignment horizontal="left" vertical="top" wrapText="1"/>
    </xf>
    <xf numFmtId="0" fontId="37" fillId="3" borderId="2" xfId="13" applyFont="1" applyFill="1" applyBorder="1" applyAlignment="1">
      <alignment horizontal="left" vertical="top" wrapText="1" readingOrder="1"/>
    </xf>
    <xf numFmtId="0" fontId="37" fillId="3" borderId="2" xfId="13" applyFont="1" applyFill="1" applyBorder="1" applyAlignment="1">
      <alignment horizontal="center" vertical="top" wrapText="1"/>
    </xf>
    <xf numFmtId="4" fontId="37" fillId="3" borderId="2" xfId="10" applyNumberFormat="1" applyFont="1" applyFill="1" applyBorder="1" applyAlignment="1">
      <alignment horizontal="right" vertical="center" wrapText="1"/>
    </xf>
    <xf numFmtId="4" fontId="37" fillId="3" borderId="2" xfId="10" applyNumberFormat="1" applyFont="1" applyFill="1" applyBorder="1" applyAlignment="1">
      <alignment horizontal="center" vertical="center" wrapText="1"/>
    </xf>
    <xf numFmtId="0" fontId="37" fillId="3" borderId="2" xfId="13" applyFont="1" applyFill="1" applyBorder="1" applyAlignment="1">
      <alignment horizontal="center" vertical="center" textRotation="90"/>
    </xf>
    <xf numFmtId="0" fontId="37" fillId="3" borderId="2" xfId="13" applyFont="1" applyFill="1" applyBorder="1" applyAlignment="1">
      <alignment horizontal="left" vertical="center" wrapText="1"/>
    </xf>
    <xf numFmtId="0" fontId="37" fillId="3" borderId="2" xfId="13" applyFont="1" applyFill="1" applyBorder="1" applyAlignment="1">
      <alignment vertical="top" wrapText="1"/>
    </xf>
    <xf numFmtId="4" fontId="37" fillId="3" borderId="2" xfId="13" applyNumberFormat="1" applyFont="1" applyFill="1" applyBorder="1" applyAlignment="1">
      <alignment vertical="center"/>
    </xf>
    <xf numFmtId="39" fontId="37" fillId="3" borderId="2" xfId="13" applyNumberFormat="1" applyFont="1" applyFill="1" applyBorder="1" applyAlignment="1">
      <alignment vertical="center"/>
    </xf>
    <xf numFmtId="4" fontId="37" fillId="3" borderId="2" xfId="13" applyNumberFormat="1" applyFont="1" applyFill="1" applyBorder="1" applyAlignment="1">
      <alignment horizontal="right" vertical="center"/>
    </xf>
    <xf numFmtId="2" fontId="37" fillId="3" borderId="2" xfId="13" applyNumberFormat="1" applyFont="1" applyFill="1" applyBorder="1" applyAlignment="1">
      <alignment horizontal="center" vertical="center" textRotation="90"/>
    </xf>
    <xf numFmtId="41" fontId="37" fillId="3" borderId="2" xfId="13" applyNumberFormat="1" applyFont="1" applyFill="1" applyBorder="1" applyAlignment="1">
      <alignment vertical="center"/>
    </xf>
    <xf numFmtId="41" fontId="37" fillId="3" borderId="2" xfId="13" applyNumberFormat="1" applyFont="1" applyFill="1" applyBorder="1" applyAlignment="1">
      <alignment horizontal="right" vertical="center"/>
    </xf>
    <xf numFmtId="0" fontId="37" fillId="3" borderId="2" xfId="13" applyFont="1" applyFill="1" applyBorder="1" applyAlignment="1">
      <alignment horizontal="center" vertical="center"/>
    </xf>
    <xf numFmtId="39" fontId="37" fillId="3" borderId="2" xfId="13" applyNumberFormat="1" applyFont="1" applyFill="1" applyBorder="1" applyAlignment="1">
      <alignment horizontal="right" vertical="center"/>
    </xf>
    <xf numFmtId="0" fontId="37" fillId="0" borderId="2" xfId="13" applyFont="1" applyBorder="1" applyAlignment="1">
      <alignment horizontal="left" vertical="center" wrapText="1"/>
    </xf>
    <xf numFmtId="0" fontId="37" fillId="0" borderId="2" xfId="13" applyFont="1" applyBorder="1" applyAlignment="1">
      <alignment horizontal="center" vertical="top" wrapText="1"/>
    </xf>
    <xf numFmtId="39" fontId="37" fillId="0" borderId="2" xfId="13" applyNumberFormat="1" applyFont="1" applyBorder="1" applyAlignment="1">
      <alignment vertical="center"/>
    </xf>
    <xf numFmtId="39" fontId="37" fillId="0" borderId="2" xfId="13" applyNumberFormat="1" applyFont="1" applyBorder="1" applyAlignment="1">
      <alignment horizontal="right" vertical="center"/>
    </xf>
    <xf numFmtId="0" fontId="37" fillId="3" borderId="2" xfId="13" quotePrefix="1" applyFont="1" applyFill="1" applyBorder="1" applyAlignment="1">
      <alignment horizontal="center" vertical="top" wrapText="1"/>
    </xf>
    <xf numFmtId="41" fontId="37" fillId="0" borderId="2" xfId="13" quotePrefix="1" applyNumberFormat="1" applyFont="1" applyBorder="1" applyAlignment="1">
      <alignment horizontal="center" vertical="center"/>
    </xf>
    <xf numFmtId="41" fontId="37" fillId="0" borderId="2" xfId="13" applyNumberFormat="1" applyFont="1" applyBorder="1" applyAlignment="1">
      <alignment vertical="center"/>
    </xf>
    <xf numFmtId="41" fontId="37" fillId="0" borderId="2" xfId="13" applyNumberFormat="1" applyFont="1" applyBorder="1" applyAlignment="1">
      <alignment horizontal="right" vertical="center"/>
    </xf>
    <xf numFmtId="0" fontId="47" fillId="10" borderId="2" xfId="13" applyFont="1" applyFill="1" applyBorder="1" applyAlignment="1">
      <alignment horizontal="center" vertical="center" wrapText="1"/>
    </xf>
    <xf numFmtId="0" fontId="47" fillId="10" borderId="2" xfId="13" applyFont="1" applyFill="1" applyBorder="1" applyAlignment="1">
      <alignment horizontal="center" vertical="top" wrapText="1"/>
    </xf>
    <xf numFmtId="0" fontId="37" fillId="0" borderId="2" xfId="13" quotePrefix="1" applyFont="1" applyBorder="1" applyAlignment="1">
      <alignment vertical="center" wrapText="1"/>
    </xf>
    <xf numFmtId="41" fontId="38" fillId="0" borderId="2" xfId="7" applyFont="1" applyBorder="1" applyAlignment="1">
      <alignment vertical="top" wrapText="1"/>
    </xf>
    <xf numFmtId="41" fontId="38" fillId="0" borderId="2" xfId="7" applyFont="1" applyBorder="1" applyAlignment="1">
      <alignment horizontal="center" vertical="top" wrapText="1"/>
    </xf>
    <xf numFmtId="39" fontId="38" fillId="0" borderId="2" xfId="7" applyNumberFormat="1" applyFont="1" applyBorder="1" applyAlignment="1">
      <alignment horizontal="right" vertical="top" wrapText="1"/>
    </xf>
    <xf numFmtId="39" fontId="38" fillId="0" borderId="2" xfId="7" applyNumberFormat="1" applyFont="1" applyBorder="1" applyAlignment="1">
      <alignment horizontal="center" vertical="top" wrapText="1"/>
    </xf>
    <xf numFmtId="9" fontId="38" fillId="0" borderId="2" xfId="7" applyNumberFormat="1" applyFont="1" applyBorder="1" applyAlignment="1">
      <alignment vertical="top" wrapText="1"/>
    </xf>
    <xf numFmtId="9" fontId="38" fillId="0" borderId="2" xfId="7" applyNumberFormat="1" applyFont="1" applyBorder="1" applyAlignment="1">
      <alignment horizontal="center" vertical="top" wrapText="1"/>
    </xf>
    <xf numFmtId="0" fontId="38" fillId="3" borderId="2" xfId="13" applyFont="1" applyFill="1" applyBorder="1" applyAlignment="1">
      <alignment horizontal="left" vertical="top" wrapText="1"/>
    </xf>
    <xf numFmtId="41" fontId="38" fillId="3" borderId="2" xfId="7" applyFont="1" applyFill="1" applyBorder="1" applyAlignment="1">
      <alignment vertical="top" wrapText="1"/>
    </xf>
    <xf numFmtId="41" fontId="38" fillId="3" borderId="2" xfId="7" applyFont="1" applyFill="1" applyBorder="1" applyAlignment="1">
      <alignment horizontal="center" vertical="top" wrapText="1"/>
    </xf>
    <xf numFmtId="39" fontId="38" fillId="3" borderId="2" xfId="7" applyNumberFormat="1" applyFont="1" applyFill="1" applyBorder="1" applyAlignment="1">
      <alignment horizontal="right" vertical="top" wrapText="1"/>
    </xf>
    <xf numFmtId="39" fontId="38" fillId="3" borderId="2" xfId="7" applyNumberFormat="1" applyFont="1" applyFill="1" applyBorder="1" applyAlignment="1">
      <alignment horizontal="center" vertical="top" wrapText="1"/>
    </xf>
    <xf numFmtId="0" fontId="37" fillId="10" borderId="2" xfId="13" applyFont="1" applyFill="1" applyBorder="1" applyAlignment="1">
      <alignment vertical="center"/>
    </xf>
    <xf numFmtId="0" fontId="47" fillId="10" borderId="2" xfId="13" applyFont="1" applyFill="1" applyBorder="1" applyAlignment="1">
      <alignment vertical="top" wrapText="1"/>
    </xf>
    <xf numFmtId="0" fontId="47" fillId="10" borderId="2" xfId="13" applyFont="1" applyFill="1" applyBorder="1" applyAlignment="1">
      <alignment vertical="center"/>
    </xf>
    <xf numFmtId="0" fontId="38" fillId="0" borderId="2" xfId="13" applyFont="1" applyBorder="1" applyAlignment="1">
      <alignment horizontal="center" vertical="center"/>
    </xf>
    <xf numFmtId="39" fontId="38" fillId="0" borderId="2" xfId="13" applyNumberFormat="1" applyFont="1" applyBorder="1" applyAlignment="1">
      <alignment vertical="center"/>
    </xf>
    <xf numFmtId="39" fontId="38" fillId="0" borderId="2" xfId="10" applyNumberFormat="1" applyFont="1" applyBorder="1" applyAlignment="1">
      <alignment vertical="center"/>
    </xf>
    <xf numFmtId="0" fontId="39" fillId="10" borderId="1" xfId="13" applyFont="1" applyFill="1" applyBorder="1" applyAlignment="1">
      <alignment vertical="top" wrapText="1"/>
    </xf>
    <xf numFmtId="0" fontId="47" fillId="10" borderId="1" xfId="13" applyFont="1" applyFill="1" applyBorder="1" applyAlignment="1">
      <alignment vertical="top" wrapText="1"/>
    </xf>
    <xf numFmtId="0" fontId="47" fillId="10" borderId="1" xfId="13" applyFont="1" applyFill="1" applyBorder="1" applyAlignment="1">
      <alignment horizontal="center" vertical="top" wrapText="1"/>
    </xf>
    <xf numFmtId="0" fontId="47" fillId="10" borderId="1" xfId="13" applyFont="1" applyFill="1" applyBorder="1" applyAlignment="1">
      <alignment horizontal="center" vertical="center" wrapText="1"/>
    </xf>
    <xf numFmtId="4" fontId="47" fillId="10" borderId="21" xfId="13" applyNumberFormat="1" applyFont="1" applyFill="1" applyBorder="1" applyAlignment="1">
      <alignment horizontal="center" vertical="center"/>
    </xf>
    <xf numFmtId="0" fontId="47" fillId="10" borderId="6" xfId="13" applyFont="1" applyFill="1" applyBorder="1" applyAlignment="1">
      <alignment horizontal="center" vertical="center" wrapText="1"/>
    </xf>
    <xf numFmtId="4" fontId="47" fillId="10" borderId="6" xfId="13" applyNumberFormat="1" applyFont="1" applyFill="1" applyBorder="1" applyAlignment="1">
      <alignment horizontal="center" vertical="center"/>
    </xf>
    <xf numFmtId="0" fontId="47" fillId="10" borderId="6" xfId="13" applyFont="1" applyFill="1" applyBorder="1" applyAlignment="1">
      <alignment horizontal="center" vertical="top" wrapText="1"/>
    </xf>
    <xf numFmtId="0" fontId="37" fillId="0" borderId="2" xfId="13" quotePrefix="1" applyFont="1" applyBorder="1" applyAlignment="1">
      <alignment horizontal="center" vertical="center" wrapText="1"/>
    </xf>
    <xf numFmtId="0" fontId="37" fillId="0" borderId="2" xfId="13" quotePrefix="1" applyNumberFormat="1" applyFont="1" applyBorder="1" applyAlignment="1">
      <alignment horizontal="center" vertical="center" wrapText="1"/>
    </xf>
    <xf numFmtId="1" fontId="38" fillId="0" borderId="2" xfId="13" applyNumberFormat="1" applyFont="1" applyBorder="1" applyAlignment="1">
      <alignment horizontal="left" vertical="top" wrapText="1"/>
    </xf>
    <xf numFmtId="39" fontId="38" fillId="0" borderId="2" xfId="7" applyNumberFormat="1" applyFont="1" applyFill="1" applyBorder="1" applyAlignment="1">
      <alignment horizontal="right" vertical="center" wrapText="1"/>
    </xf>
    <xf numFmtId="0" fontId="10" fillId="10" borderId="2" xfId="13" applyFont="1" applyFill="1" applyBorder="1" applyAlignment="1">
      <alignment horizontal="center" vertical="center" wrapText="1"/>
    </xf>
    <xf numFmtId="0" fontId="10" fillId="10" borderId="2" xfId="13" quotePrefix="1" applyFont="1" applyFill="1" applyBorder="1" applyAlignment="1">
      <alignment horizontal="center" vertical="center" wrapText="1"/>
    </xf>
    <xf numFmtId="0" fontId="25" fillId="10" borderId="2" xfId="13" applyFont="1" applyFill="1" applyBorder="1" applyAlignment="1">
      <alignment horizontal="left" vertical="top" wrapText="1"/>
    </xf>
    <xf numFmtId="0" fontId="25" fillId="10" borderId="2" xfId="13" applyFont="1" applyFill="1" applyBorder="1" applyAlignment="1">
      <alignment vertical="top" wrapText="1"/>
    </xf>
    <xf numFmtId="1" fontId="25" fillId="10" borderId="2" xfId="13" applyNumberFormat="1" applyFont="1" applyFill="1" applyBorder="1" applyAlignment="1">
      <alignment horizontal="left" vertical="top" wrapText="1"/>
    </xf>
    <xf numFmtId="39" fontId="25" fillId="10" borderId="2" xfId="10" applyNumberFormat="1" applyFont="1" applyFill="1" applyBorder="1" applyAlignment="1">
      <alignment vertical="center" wrapText="1"/>
    </xf>
    <xf numFmtId="39" fontId="25" fillId="10" borderId="2" xfId="7" applyNumberFormat="1" applyFont="1" applyFill="1" applyBorder="1" applyAlignment="1">
      <alignment horizontal="right" vertical="center" wrapText="1"/>
    </xf>
    <xf numFmtId="4" fontId="25" fillId="10" borderId="2" xfId="13" applyNumberFormat="1" applyFont="1" applyFill="1" applyBorder="1" applyAlignment="1">
      <alignment horizontal="right" vertical="center" wrapText="1"/>
    </xf>
    <xf numFmtId="0" fontId="25" fillId="10" borderId="2" xfId="13" applyFont="1" applyFill="1" applyBorder="1" applyAlignment="1">
      <alignment horizontal="center" vertical="top" wrapText="1"/>
    </xf>
    <xf numFmtId="0" fontId="43" fillId="0" borderId="2" xfId="13" applyFont="1" applyBorder="1" applyAlignment="1">
      <alignment vertical="center"/>
    </xf>
    <xf numFmtId="4" fontId="37" fillId="0" borderId="2" xfId="13" applyNumberFormat="1" applyFont="1" applyBorder="1" applyAlignment="1">
      <alignment horizontal="right" vertical="center"/>
    </xf>
    <xf numFmtId="39" fontId="37" fillId="0" borderId="2" xfId="7" applyNumberFormat="1" applyFont="1" applyBorder="1" applyAlignment="1">
      <alignment vertical="center"/>
    </xf>
    <xf numFmtId="0" fontId="33" fillId="0" borderId="0" xfId="13" applyFont="1" applyAlignment="1">
      <alignment vertical="center"/>
    </xf>
    <xf numFmtId="0" fontId="45" fillId="0" borderId="2" xfId="0" applyFont="1" applyBorder="1" applyAlignment="1">
      <alignment vertical="center"/>
    </xf>
    <xf numFmtId="0" fontId="37" fillId="0" borderId="5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center" wrapText="1"/>
    </xf>
    <xf numFmtId="4" fontId="37" fillId="0" borderId="2" xfId="0" applyNumberFormat="1" applyFont="1" applyBorder="1" applyAlignment="1">
      <alignment horizontal="right" vertical="center"/>
    </xf>
    <xf numFmtId="39" fontId="37" fillId="0" borderId="2" xfId="2" applyNumberFormat="1" applyFont="1" applyBorder="1" applyAlignment="1">
      <alignment vertical="center"/>
    </xf>
    <xf numFmtId="0" fontId="24" fillId="0" borderId="2" xfId="0" applyFont="1" applyBorder="1" applyAlignment="1">
      <alignment horizontal="left" vertical="center" wrapText="1"/>
    </xf>
    <xf numFmtId="4" fontId="24" fillId="0" borderId="2" xfId="0" applyNumberFormat="1" applyFont="1" applyBorder="1" applyAlignment="1">
      <alignment vertical="center"/>
    </xf>
    <xf numFmtId="4" fontId="24" fillId="0" borderId="2" xfId="0" applyNumberFormat="1" applyFont="1" applyBorder="1" applyAlignment="1">
      <alignment horizontal="right" vertical="center"/>
    </xf>
    <xf numFmtId="0" fontId="25" fillId="10" borderId="2" xfId="13" applyFont="1" applyFill="1" applyBorder="1"/>
    <xf numFmtId="0" fontId="20" fillId="0" borderId="2" xfId="0" quotePrefix="1" applyNumberFormat="1" applyFont="1" applyBorder="1" applyAlignment="1">
      <alignment horizontal="center" vertical="center" wrapText="1"/>
    </xf>
    <xf numFmtId="0" fontId="25" fillId="3" borderId="5" xfId="13" applyFont="1" applyFill="1" applyBorder="1" applyAlignment="1">
      <alignment vertical="top" wrapText="1"/>
    </xf>
    <xf numFmtId="41" fontId="25" fillId="3" borderId="2" xfId="2" applyFont="1" applyFill="1" applyBorder="1" applyAlignment="1">
      <alignment vertical="center" wrapText="1"/>
    </xf>
    <xf numFmtId="41" fontId="38" fillId="3" borderId="2" xfId="2" applyFont="1" applyFill="1" applyBorder="1" applyAlignment="1">
      <alignment vertical="center"/>
    </xf>
    <xf numFmtId="0" fontId="38" fillId="3" borderId="2" xfId="13" applyFont="1" applyFill="1" applyBorder="1" applyAlignment="1">
      <alignment vertical="center" wrapText="1"/>
    </xf>
    <xf numFmtId="0" fontId="37" fillId="0" borderId="5" xfId="0" applyFont="1" applyBorder="1" applyAlignment="1">
      <alignment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38" fillId="0" borderId="2" xfId="13" applyFont="1" applyBorder="1"/>
    <xf numFmtId="0" fontId="20" fillId="0" borderId="2" xfId="0" applyFont="1" applyFill="1" applyBorder="1" applyAlignment="1">
      <alignment horizontal="center" vertical="top" wrapText="1"/>
    </xf>
    <xf numFmtId="9" fontId="38" fillId="0" borderId="2" xfId="13" applyNumberFormat="1" applyFont="1" applyBorder="1" applyAlignment="1">
      <alignment horizontal="center" vertical="center"/>
    </xf>
    <xf numFmtId="167" fontId="38" fillId="0" borderId="2" xfId="13" applyNumberFormat="1" applyFont="1" applyBorder="1" applyAlignment="1">
      <alignment horizontal="center" vertical="top" wrapText="1"/>
    </xf>
    <xf numFmtId="167" fontId="38" fillId="0" borderId="2" xfId="13" applyNumberFormat="1" applyFont="1" applyBorder="1" applyAlignment="1">
      <alignment horizontal="center" vertical="center" wrapText="1"/>
    </xf>
    <xf numFmtId="165" fontId="38" fillId="0" borderId="2" xfId="10" applyNumberFormat="1" applyFont="1" applyBorder="1" applyAlignment="1">
      <alignment horizontal="center" vertical="center" wrapText="1"/>
    </xf>
    <xf numFmtId="3" fontId="51" fillId="0" borderId="2" xfId="13" applyNumberFormat="1" applyFont="1" applyFill="1" applyBorder="1" applyAlignment="1">
      <alignment horizontal="center" vertical="center" wrapText="1"/>
    </xf>
    <xf numFmtId="0" fontId="51" fillId="0" borderId="2" xfId="13" applyFont="1" applyBorder="1" applyAlignment="1">
      <alignment horizontal="center" vertical="top" wrapText="1"/>
    </xf>
    <xf numFmtId="10" fontId="38" fillId="0" borderId="2" xfId="7" applyNumberFormat="1" applyFont="1" applyBorder="1" applyAlignment="1">
      <alignment horizontal="center" vertical="top" wrapText="1"/>
    </xf>
    <xf numFmtId="9" fontId="38" fillId="0" borderId="2" xfId="7" applyNumberFormat="1" applyFont="1" applyBorder="1" applyAlignment="1">
      <alignment horizontal="center" vertical="center" wrapText="1"/>
    </xf>
    <xf numFmtId="41" fontId="38" fillId="0" borderId="2" xfId="7" applyFont="1" applyBorder="1" applyAlignment="1">
      <alignment horizontal="center" vertical="center" wrapText="1"/>
    </xf>
    <xf numFmtId="10" fontId="38" fillId="0" borderId="2" xfId="7" applyNumberFormat="1" applyFont="1" applyBorder="1" applyAlignment="1">
      <alignment horizontal="center" vertical="center" wrapText="1"/>
    </xf>
    <xf numFmtId="41" fontId="51" fillId="0" borderId="2" xfId="7" applyFont="1" applyFill="1" applyBorder="1" applyAlignment="1">
      <alignment horizontal="center" vertical="center" wrapText="1"/>
    </xf>
    <xf numFmtId="168" fontId="38" fillId="0" borderId="2" xfId="13" applyNumberFormat="1" applyFont="1" applyBorder="1" applyAlignment="1">
      <alignment horizontal="center" vertical="center" wrapText="1"/>
    </xf>
    <xf numFmtId="41" fontId="38" fillId="0" borderId="2" xfId="7" applyFont="1" applyBorder="1" applyAlignment="1">
      <alignment horizontal="center" vertical="center"/>
    </xf>
    <xf numFmtId="41" fontId="51" fillId="0" borderId="2" xfId="7" applyFont="1" applyBorder="1" applyAlignment="1">
      <alignment horizontal="center" vertical="center"/>
    </xf>
    <xf numFmtId="0" fontId="38" fillId="10" borderId="2" xfId="13" applyFont="1" applyFill="1" applyBorder="1" applyAlignment="1">
      <alignment vertical="center"/>
    </xf>
    <xf numFmtId="0" fontId="37" fillId="0" borderId="2" xfId="13" applyFont="1" applyFill="1" applyBorder="1" applyAlignment="1">
      <alignment horizontal="left" vertical="top" wrapText="1" readingOrder="1"/>
    </xf>
    <xf numFmtId="10" fontId="38" fillId="0" borderId="2" xfId="13" applyNumberFormat="1" applyFont="1" applyBorder="1" applyAlignment="1">
      <alignment horizontal="center" vertical="center" wrapText="1"/>
    </xf>
    <xf numFmtId="41" fontId="1" fillId="0" borderId="2" xfId="13" applyNumberFormat="1" applyBorder="1" applyAlignment="1">
      <alignment vertical="top" wrapText="1"/>
    </xf>
    <xf numFmtId="10" fontId="38" fillId="0" borderId="2" xfId="13" applyNumberFormat="1" applyFont="1" applyBorder="1" applyAlignment="1">
      <alignment horizontal="center" vertical="top" wrapText="1"/>
    </xf>
    <xf numFmtId="41" fontId="38" fillId="0" borderId="2" xfId="3" applyNumberFormat="1" applyFont="1" applyBorder="1" applyAlignment="1">
      <alignment horizontal="center" vertical="center"/>
    </xf>
    <xf numFmtId="41" fontId="38" fillId="0" borderId="2" xfId="12" applyNumberFormat="1" applyFont="1" applyBorder="1" applyAlignment="1">
      <alignment horizontal="center" vertical="center"/>
    </xf>
    <xf numFmtId="165" fontId="38" fillId="0" borderId="2" xfId="10" applyNumberFormat="1" applyFont="1" applyBorder="1" applyAlignment="1">
      <alignment vertical="center" wrapText="1"/>
    </xf>
    <xf numFmtId="10" fontId="38" fillId="0" borderId="2" xfId="13" applyNumberFormat="1" applyFont="1" applyBorder="1" applyAlignment="1">
      <alignment horizontal="center" vertical="center"/>
    </xf>
    <xf numFmtId="9" fontId="38" fillId="0" borderId="2" xfId="12" applyFont="1" applyBorder="1" applyAlignment="1">
      <alignment horizontal="center" vertical="center"/>
    </xf>
    <xf numFmtId="39" fontId="38" fillId="0" borderId="2" xfId="13" applyNumberFormat="1" applyFont="1" applyBorder="1" applyAlignment="1">
      <alignment horizontal="right" vertical="center"/>
    </xf>
    <xf numFmtId="0" fontId="37" fillId="0" borderId="2" xfId="13" applyFont="1" applyBorder="1" applyAlignment="1">
      <alignment horizontal="center" vertical="top"/>
    </xf>
    <xf numFmtId="0" fontId="37" fillId="5" borderId="2" xfId="13" applyFont="1" applyFill="1" applyBorder="1" applyAlignment="1">
      <alignment horizontal="left" vertical="top" wrapText="1"/>
    </xf>
    <xf numFmtId="0" fontId="37" fillId="5" borderId="2" xfId="13" applyFont="1" applyFill="1" applyBorder="1" applyAlignment="1">
      <alignment horizontal="justify" vertical="top" wrapText="1"/>
    </xf>
    <xf numFmtId="9" fontId="37" fillId="5" borderId="2" xfId="13" applyNumberFormat="1" applyFont="1" applyFill="1" applyBorder="1" applyAlignment="1">
      <alignment horizontal="center" vertical="top" wrapText="1"/>
    </xf>
    <xf numFmtId="9" fontId="37" fillId="5" borderId="2" xfId="13" applyNumberFormat="1" applyFont="1" applyFill="1" applyBorder="1" applyAlignment="1">
      <alignment horizontal="center" vertical="center" wrapText="1"/>
    </xf>
    <xf numFmtId="39" fontId="37" fillId="5" borderId="2" xfId="10" applyNumberFormat="1" applyFont="1" applyFill="1" applyBorder="1" applyAlignment="1">
      <alignment horizontal="right" vertical="center"/>
    </xf>
    <xf numFmtId="9" fontId="37" fillId="5" borderId="2" xfId="10" applyNumberFormat="1" applyFont="1" applyFill="1" applyBorder="1" applyAlignment="1">
      <alignment horizontal="center" vertical="center" wrapText="1"/>
    </xf>
    <xf numFmtId="9" fontId="37" fillId="5" borderId="2" xfId="10" applyNumberFormat="1" applyFont="1" applyFill="1" applyBorder="1" applyAlignment="1">
      <alignment horizontal="center" vertical="center"/>
    </xf>
    <xf numFmtId="39" fontId="37" fillId="5" borderId="2" xfId="10" applyNumberFormat="1" applyFont="1" applyFill="1" applyBorder="1" applyAlignment="1">
      <alignment horizontal="right" vertical="center" wrapText="1"/>
    </xf>
    <xf numFmtId="41" fontId="37" fillId="5" borderId="2" xfId="13" applyNumberFormat="1" applyFont="1" applyFill="1" applyBorder="1" applyAlignment="1">
      <alignment horizontal="center" vertical="center" wrapText="1"/>
    </xf>
    <xf numFmtId="39" fontId="38" fillId="0" borderId="2" xfId="7" applyNumberFormat="1" applyFont="1" applyBorder="1" applyAlignment="1">
      <alignment horizontal="right" vertical="center" wrapText="1"/>
    </xf>
    <xf numFmtId="3" fontId="37" fillId="5" borderId="2" xfId="13" applyNumberFormat="1" applyFont="1" applyFill="1" applyBorder="1" applyAlignment="1">
      <alignment horizontal="center" vertical="center" wrapText="1"/>
    </xf>
    <xf numFmtId="4" fontId="38" fillId="0" borderId="2" xfId="13" applyNumberFormat="1" applyFont="1" applyBorder="1" applyAlignment="1">
      <alignment horizontal="right" vertical="center" wrapText="1"/>
    </xf>
    <xf numFmtId="41" fontId="38" fillId="0" borderId="2" xfId="13" applyNumberFormat="1" applyFont="1" applyBorder="1" applyAlignment="1">
      <alignment horizontal="center" vertical="center" wrapText="1"/>
    </xf>
    <xf numFmtId="0" fontId="38" fillId="5" borderId="2" xfId="13" applyFont="1" applyFill="1" applyBorder="1" applyAlignment="1">
      <alignment horizontal="center" vertical="top" wrapText="1"/>
    </xf>
    <xf numFmtId="0" fontId="37" fillId="0" borderId="2" xfId="13" applyFont="1" applyBorder="1" applyAlignment="1">
      <alignment horizontal="left" vertical="top" wrapText="1"/>
    </xf>
    <xf numFmtId="39" fontId="37" fillId="5" borderId="2" xfId="7" applyNumberFormat="1" applyFont="1" applyFill="1" applyBorder="1" applyAlignment="1">
      <alignment horizontal="right" vertical="center" wrapText="1"/>
    </xf>
    <xf numFmtId="4" fontId="38" fillId="0" borderId="2" xfId="7" applyNumberFormat="1" applyFont="1" applyBorder="1" applyAlignment="1">
      <alignment horizontal="right" vertical="center" wrapText="1"/>
    </xf>
    <xf numFmtId="39" fontId="38" fillId="0" borderId="2" xfId="13" applyNumberFormat="1" applyFont="1" applyBorder="1" applyAlignment="1">
      <alignment horizontal="center" vertical="center"/>
    </xf>
    <xf numFmtId="4" fontId="38" fillId="0" borderId="2" xfId="13" applyNumberFormat="1" applyFont="1" applyBorder="1" applyAlignment="1">
      <alignment horizontal="center" vertical="center"/>
    </xf>
    <xf numFmtId="0" fontId="25" fillId="0" borderId="2" xfId="13" applyFont="1" applyBorder="1" applyAlignment="1">
      <alignment horizontal="center" vertical="center"/>
    </xf>
    <xf numFmtId="39" fontId="52" fillId="0" borderId="2" xfId="13" applyNumberFormat="1" applyFont="1" applyBorder="1" applyAlignment="1">
      <alignment horizontal="right" vertical="center" wrapText="1"/>
    </xf>
    <xf numFmtId="0" fontId="1" fillId="6" borderId="0" xfId="13" applyFill="1"/>
    <xf numFmtId="41" fontId="38" fillId="0" borderId="2" xfId="13" applyNumberFormat="1" applyFont="1" applyBorder="1" applyAlignment="1">
      <alignment horizontal="right" vertical="center"/>
    </xf>
    <xf numFmtId="39" fontId="37" fillId="0" borderId="2" xfId="9" applyNumberFormat="1" applyFont="1" applyBorder="1" applyAlignment="1">
      <alignment horizontal="center" vertical="center" wrapText="1"/>
    </xf>
    <xf numFmtId="4" fontId="38" fillId="0" borderId="3" xfId="13" applyNumberFormat="1" applyFont="1" applyBorder="1" applyAlignment="1">
      <alignment horizontal="center" vertical="center" wrapText="1"/>
    </xf>
    <xf numFmtId="4" fontId="38" fillId="0" borderId="2" xfId="13" applyNumberFormat="1" applyFont="1" applyBorder="1" applyAlignment="1">
      <alignment horizontal="center" vertical="center" wrapText="1"/>
    </xf>
    <xf numFmtId="39" fontId="38" fillId="0" borderId="2" xfId="13" applyNumberFormat="1" applyFont="1" applyBorder="1" applyAlignment="1">
      <alignment horizontal="center" vertical="center" wrapText="1"/>
    </xf>
    <xf numFmtId="0" fontId="25" fillId="0" borderId="2" xfId="13" applyFont="1" applyBorder="1" applyAlignment="1">
      <alignment horizontal="center" vertical="top" wrapText="1"/>
    </xf>
    <xf numFmtId="43" fontId="38" fillId="0" borderId="2" xfId="13" applyNumberFormat="1" applyFont="1" applyBorder="1" applyAlignment="1">
      <alignment horizontal="center" vertical="center"/>
    </xf>
    <xf numFmtId="0" fontId="24" fillId="3" borderId="21" xfId="0" applyFont="1" applyFill="1" applyBorder="1" applyAlignment="1">
      <alignment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center"/>
    </xf>
    <xf numFmtId="164" fontId="24" fillId="0" borderId="6" xfId="2" applyNumberFormat="1" applyFont="1" applyBorder="1" applyAlignment="1">
      <alignment horizontal="center" vertical="center"/>
    </xf>
    <xf numFmtId="39" fontId="24" fillId="0" borderId="6" xfId="2" applyNumberFormat="1" applyFont="1" applyBorder="1" applyAlignment="1">
      <alignment vertical="center"/>
    </xf>
    <xf numFmtId="0" fontId="53" fillId="3" borderId="2" xfId="13" quotePrefix="1" applyFont="1" applyFill="1" applyBorder="1" applyAlignment="1">
      <alignment vertical="center" wrapText="1"/>
    </xf>
    <xf numFmtId="0" fontId="24" fillId="0" borderId="5" xfId="0" applyFont="1" applyBorder="1" applyAlignment="1">
      <alignment vertical="top" wrapText="1"/>
    </xf>
    <xf numFmtId="164" fontId="24" fillId="0" borderId="2" xfId="2" applyNumberFormat="1" applyFont="1" applyBorder="1" applyAlignment="1">
      <alignment horizontal="center" vertical="center"/>
    </xf>
    <xf numFmtId="164" fontId="24" fillId="0" borderId="2" xfId="0" applyNumberFormat="1" applyFont="1" applyBorder="1" applyAlignment="1">
      <alignment horizontal="center" vertical="center" wrapText="1"/>
    </xf>
    <xf numFmtId="39" fontId="24" fillId="0" borderId="2" xfId="0" applyNumberFormat="1" applyFont="1" applyBorder="1" applyAlignment="1">
      <alignment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/>
    </xf>
    <xf numFmtId="164" fontId="24" fillId="0" borderId="2" xfId="0" applyNumberFormat="1" applyFont="1" applyBorder="1" applyAlignment="1">
      <alignment horizontal="center" vertical="center"/>
    </xf>
    <xf numFmtId="0" fontId="38" fillId="10" borderId="2" xfId="13" applyFont="1" applyFill="1" applyBorder="1" applyAlignment="1">
      <alignment vertical="center" wrapText="1"/>
    </xf>
    <xf numFmtId="0" fontId="24" fillId="0" borderId="2" xfId="0" quotePrefix="1" applyFont="1" applyBorder="1" applyAlignment="1">
      <alignment horizontal="center" vertical="center"/>
    </xf>
    <xf numFmtId="166" fontId="24" fillId="0" borderId="2" xfId="2" applyNumberFormat="1" applyFont="1" applyBorder="1" applyAlignment="1">
      <alignment horizontal="center" vertical="center"/>
    </xf>
    <xf numFmtId="9" fontId="24" fillId="0" borderId="2" xfId="0" applyNumberFormat="1" applyFont="1" applyBorder="1" applyAlignment="1">
      <alignment horizontal="center" vertical="center"/>
    </xf>
    <xf numFmtId="166" fontId="24" fillId="0" borderId="2" xfId="2" applyNumberFormat="1" applyFont="1" applyBorder="1" applyAlignment="1">
      <alignment vertical="center"/>
    </xf>
    <xf numFmtId="9" fontId="24" fillId="0" borderId="2" xfId="0" applyNumberFormat="1" applyFont="1" applyBorder="1" applyAlignment="1">
      <alignment vertical="center"/>
    </xf>
    <xf numFmtId="0" fontId="33" fillId="0" borderId="10" xfId="13" applyFont="1" applyBorder="1" applyAlignment="1">
      <alignment wrapText="1"/>
    </xf>
    <xf numFmtId="0" fontId="33" fillId="0" borderId="17" xfId="13" applyFont="1" applyBorder="1" applyAlignment="1">
      <alignment wrapText="1"/>
    </xf>
    <xf numFmtId="0" fontId="33" fillId="0" borderId="11" xfId="13" applyFont="1" applyBorder="1" applyAlignment="1">
      <alignment wrapText="1"/>
    </xf>
    <xf numFmtId="0" fontId="1" fillId="0" borderId="2" xfId="13" applyBorder="1" applyAlignment="1">
      <alignment vertical="top" wrapText="1"/>
    </xf>
    <xf numFmtId="0" fontId="33" fillId="0" borderId="9" xfId="13" applyFont="1" applyBorder="1" applyAlignment="1">
      <alignment wrapText="1"/>
    </xf>
    <xf numFmtId="0" fontId="33" fillId="0" borderId="0" xfId="13" applyFont="1" applyBorder="1" applyAlignment="1">
      <alignment wrapText="1"/>
    </xf>
    <xf numFmtId="0" fontId="33" fillId="0" borderId="12" xfId="13" applyFont="1" applyBorder="1" applyAlignment="1">
      <alignment wrapText="1"/>
    </xf>
    <xf numFmtId="0" fontId="33" fillId="0" borderId="20" xfId="13" applyFont="1" applyBorder="1" applyAlignment="1">
      <alignment wrapText="1"/>
    </xf>
    <xf numFmtId="0" fontId="33" fillId="0" borderId="1" xfId="13" applyFont="1" applyBorder="1" applyAlignment="1">
      <alignment wrapText="1"/>
    </xf>
    <xf numFmtId="0" fontId="33" fillId="0" borderId="21" xfId="13" applyFont="1" applyBorder="1" applyAlignment="1">
      <alignment wrapText="1"/>
    </xf>
    <xf numFmtId="0" fontId="1" fillId="0" borderId="0" xfId="13" applyAlignment="1">
      <alignment vertical="top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top" wrapText="1"/>
    </xf>
    <xf numFmtId="10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54" fillId="0" borderId="0" xfId="0" applyFont="1"/>
    <xf numFmtId="0" fontId="54" fillId="0" borderId="0" xfId="0" applyFont="1" applyBorder="1"/>
    <xf numFmtId="0" fontId="55" fillId="0" borderId="0" xfId="0" applyFont="1" applyBorder="1" applyAlignment="1">
      <alignment vertical="top" wrapText="1" readingOrder="1"/>
    </xf>
    <xf numFmtId="0" fontId="12" fillId="0" borderId="2" xfId="0" applyFont="1" applyBorder="1" applyAlignment="1">
      <alignment horizontal="left" vertical="top" wrapText="1"/>
    </xf>
    <xf numFmtId="0" fontId="54" fillId="0" borderId="0" xfId="0" applyFont="1" applyFill="1"/>
    <xf numFmtId="9" fontId="12" fillId="0" borderId="2" xfId="0" applyNumberFormat="1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top" wrapText="1"/>
    </xf>
    <xf numFmtId="0" fontId="10" fillId="0" borderId="2" xfId="5" applyFont="1" applyFill="1" applyBorder="1" applyAlignment="1">
      <alignment horizontal="left" vertical="top" wrapText="1" readingOrder="1"/>
    </xf>
    <xf numFmtId="0" fontId="10" fillId="0" borderId="2" xfId="0" applyFont="1" applyBorder="1" applyAlignment="1">
      <alignment horizontal="left" vertical="top" wrapText="1" readingOrder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10" fillId="10" borderId="2" xfId="13" quotePrefix="1" applyFont="1" applyFill="1" applyBorder="1" applyAlignment="1">
      <alignment vertical="center"/>
    </xf>
    <xf numFmtId="43" fontId="0" fillId="0" borderId="0" xfId="1" applyFont="1"/>
    <xf numFmtId="43" fontId="0" fillId="0" borderId="0" xfId="0" applyNumberFormat="1"/>
    <xf numFmtId="0" fontId="38" fillId="10" borderId="6" xfId="13" applyFont="1" applyFill="1" applyBorder="1" applyAlignment="1">
      <alignment vertical="center"/>
    </xf>
    <xf numFmtId="41" fontId="38" fillId="10" borderId="6" xfId="13" applyNumberFormat="1" applyFont="1" applyFill="1" applyBorder="1" applyAlignment="1">
      <alignment vertical="center"/>
    </xf>
    <xf numFmtId="0" fontId="38" fillId="10" borderId="6" xfId="13" applyFont="1" applyFill="1" applyBorder="1" applyAlignment="1">
      <alignment vertical="center" wrapText="1"/>
    </xf>
    <xf numFmtId="0" fontId="57" fillId="0" borderId="0" xfId="0" applyFont="1"/>
    <xf numFmtId="0" fontId="10" fillId="0" borderId="0" xfId="0" applyFont="1"/>
    <xf numFmtId="0" fontId="17" fillId="3" borderId="3" xfId="0" applyFont="1" applyFill="1" applyBorder="1" applyAlignment="1">
      <alignment horizontal="center" vertical="center" wrapText="1"/>
    </xf>
    <xf numFmtId="0" fontId="58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49" fontId="58" fillId="3" borderId="2" xfId="0" applyNumberFormat="1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vertical="center" wrapText="1"/>
    </xf>
    <xf numFmtId="0" fontId="60" fillId="0" borderId="2" xfId="0" applyFont="1" applyBorder="1" applyAlignment="1">
      <alignment horizontal="center" vertical="center"/>
    </xf>
    <xf numFmtId="9" fontId="60" fillId="0" borderId="2" xfId="0" applyNumberFormat="1" applyFont="1" applyBorder="1" applyAlignment="1">
      <alignment horizontal="center" vertical="center"/>
    </xf>
    <xf numFmtId="0" fontId="57" fillId="0" borderId="9" xfId="0" applyFont="1" applyBorder="1"/>
    <xf numFmtId="9" fontId="60" fillId="0" borderId="0" xfId="0" applyNumberFormat="1" applyFont="1" applyFill="1" applyBorder="1" applyAlignment="1">
      <alignment horizontal="center" vertical="center"/>
    </xf>
    <xf numFmtId="43" fontId="60" fillId="0" borderId="0" xfId="1" applyFont="1" applyFill="1" applyBorder="1" applyAlignment="1">
      <alignment horizontal="center" vertical="center"/>
    </xf>
    <xf numFmtId="0" fontId="57" fillId="0" borderId="0" xfId="0" applyFont="1" applyBorder="1"/>
    <xf numFmtId="9" fontId="10" fillId="0" borderId="2" xfId="0" quotePrefix="1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10" fontId="57" fillId="0" borderId="2" xfId="0" applyNumberFormat="1" applyFont="1" applyBorder="1" applyAlignment="1">
      <alignment horizontal="center" vertical="center"/>
    </xf>
    <xf numFmtId="9" fontId="10" fillId="0" borderId="2" xfId="0" applyNumberFormat="1" applyFont="1" applyBorder="1" applyAlignment="1">
      <alignment horizontal="center" vertical="center"/>
    </xf>
    <xf numFmtId="9" fontId="57" fillId="0" borderId="2" xfId="0" applyNumberFormat="1" applyFont="1" applyBorder="1" applyAlignment="1">
      <alignment horizontal="center" vertical="center"/>
    </xf>
    <xf numFmtId="9" fontId="60" fillId="0" borderId="3" xfId="0" applyNumberFormat="1" applyFont="1" applyBorder="1" applyAlignment="1">
      <alignment horizontal="center" vertical="center"/>
    </xf>
    <xf numFmtId="10" fontId="60" fillId="0" borderId="2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>
      <alignment horizontal="center" vertical="center"/>
    </xf>
    <xf numFmtId="0" fontId="60" fillId="0" borderId="2" xfId="0" applyFont="1" applyBorder="1"/>
    <xf numFmtId="0" fontId="10" fillId="0" borderId="3" xfId="0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top" wrapText="1"/>
    </xf>
    <xf numFmtId="0" fontId="10" fillId="0" borderId="2" xfId="0" quotePrefix="1" applyNumberFormat="1" applyFont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left" wrapText="1"/>
    </xf>
    <xf numFmtId="0" fontId="10" fillId="3" borderId="2" xfId="3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10" fillId="3" borderId="6" xfId="0" applyNumberFormat="1" applyFont="1" applyFill="1" applyBorder="1" applyAlignment="1">
      <alignment horizontal="center" vertical="center" wrapText="1"/>
    </xf>
    <xf numFmtId="37" fontId="10" fillId="3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wrapText="1"/>
    </xf>
    <xf numFmtId="0" fontId="61" fillId="0" borderId="2" xfId="0" applyFont="1" applyFill="1" applyBorder="1"/>
    <xf numFmtId="0" fontId="57" fillId="0" borderId="2" xfId="0" applyFont="1" applyFill="1" applyBorder="1"/>
    <xf numFmtId="0" fontId="10" fillId="0" borderId="5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quotePrefix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3" fontId="10" fillId="0" borderId="2" xfId="0" applyNumberFormat="1" applyFont="1" applyFill="1" applyBorder="1" applyAlignment="1">
      <alignment horizontal="center" vertical="center"/>
    </xf>
    <xf numFmtId="3" fontId="10" fillId="0" borderId="2" xfId="1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center" wrapText="1"/>
    </xf>
    <xf numFmtId="0" fontId="10" fillId="0" borderId="2" xfId="0" quotePrefix="1" applyFont="1" applyBorder="1" applyAlignment="1">
      <alignment vertical="top" wrapText="1"/>
    </xf>
    <xf numFmtId="1" fontId="10" fillId="0" borderId="2" xfId="0" quotePrefix="1" applyNumberFormat="1" applyFont="1" applyBorder="1" applyAlignment="1">
      <alignment horizontal="center" vertical="center"/>
    </xf>
    <xf numFmtId="3" fontId="10" fillId="0" borderId="2" xfId="0" quotePrefix="1" applyNumberFormat="1" applyFont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 wrapText="1"/>
    </xf>
    <xf numFmtId="41" fontId="10" fillId="0" borderId="2" xfId="2" quotePrefix="1" applyFont="1" applyBorder="1" applyAlignment="1">
      <alignment vertical="center"/>
    </xf>
    <xf numFmtId="41" fontId="10" fillId="0" borderId="2" xfId="0" quotePrefix="1" applyNumberFormat="1" applyFont="1" applyBorder="1" applyAlignment="1">
      <alignment vertical="center"/>
    </xf>
    <xf numFmtId="0" fontId="10" fillId="0" borderId="11" xfId="0" applyFont="1" applyFill="1" applyBorder="1" applyAlignment="1">
      <alignment horizontal="left" vertical="top" wrapText="1"/>
    </xf>
    <xf numFmtId="4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top" wrapText="1"/>
    </xf>
    <xf numFmtId="0" fontId="10" fillId="0" borderId="2" xfId="0" applyFont="1" applyFill="1" applyBorder="1" applyAlignment="1"/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top"/>
    </xf>
    <xf numFmtId="0" fontId="10" fillId="0" borderId="2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left" vertical="center"/>
    </xf>
    <xf numFmtId="0" fontId="10" fillId="0" borderId="16" xfId="0" applyFont="1" applyBorder="1" applyAlignment="1">
      <alignment horizontal="center" vertical="center"/>
    </xf>
    <xf numFmtId="0" fontId="17" fillId="0" borderId="5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57" fillId="0" borderId="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" xfId="0" quotePrefix="1" applyFont="1" applyFill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2" xfId="0" applyNumberFormat="1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/>
    </xf>
    <xf numFmtId="3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9" fontId="10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/>
    </xf>
    <xf numFmtId="1" fontId="10" fillId="3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top" wrapText="1"/>
    </xf>
    <xf numFmtId="0" fontId="10" fillId="0" borderId="2" xfId="0" quotePrefix="1" applyNumberFormat="1" applyFont="1" applyBorder="1" applyAlignment="1">
      <alignment horizontal="center" vertical="center"/>
    </xf>
    <xf numFmtId="20" fontId="10" fillId="0" borderId="2" xfId="0" applyNumberFormat="1" applyFont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center"/>
    </xf>
    <xf numFmtId="2" fontId="10" fillId="3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2" fontId="10" fillId="3" borderId="2" xfId="0" applyNumberFormat="1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/>
    </xf>
    <xf numFmtId="2" fontId="10" fillId="3" borderId="3" xfId="0" applyNumberFormat="1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center"/>
    </xf>
    <xf numFmtId="0" fontId="57" fillId="3" borderId="3" xfId="0" applyFont="1" applyFill="1" applyBorder="1" applyAlignment="1">
      <alignment horizontal="center" vertical="center"/>
    </xf>
    <xf numFmtId="1" fontId="10" fillId="3" borderId="2" xfId="0" applyNumberFormat="1" applyFont="1" applyFill="1" applyBorder="1" applyAlignment="1">
      <alignment horizontal="center" vertical="center"/>
    </xf>
    <xf numFmtId="3" fontId="10" fillId="3" borderId="2" xfId="0" applyNumberFormat="1" applyFont="1" applyFill="1" applyBorder="1" applyAlignment="1">
      <alignment horizontal="center" vertical="center"/>
    </xf>
    <xf numFmtId="3" fontId="10" fillId="3" borderId="2" xfId="0" quotePrefix="1" applyNumberFormat="1" applyFont="1" applyFill="1" applyBorder="1" applyAlignment="1">
      <alignment horizontal="center" vertical="center"/>
    </xf>
    <xf numFmtId="9" fontId="10" fillId="3" borderId="2" xfId="0" applyNumberFormat="1" applyFont="1" applyFill="1" applyBorder="1" applyAlignment="1">
      <alignment horizontal="center" vertical="center"/>
    </xf>
    <xf numFmtId="9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/>
    </xf>
    <xf numFmtId="0" fontId="10" fillId="3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49" fontId="10" fillId="3" borderId="3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9" fontId="10" fillId="0" borderId="4" xfId="0" quotePrefix="1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9" fontId="10" fillId="0" borderId="2" xfId="0" quotePrefix="1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top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9" fontId="57" fillId="0" borderId="5" xfId="0" applyNumberFormat="1" applyFont="1" applyFill="1" applyBorder="1" applyAlignment="1">
      <alignment horizontal="center" vertical="center"/>
    </xf>
    <xf numFmtId="9" fontId="57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wrapText="1"/>
    </xf>
    <xf numFmtId="41" fontId="10" fillId="0" borderId="2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justify" wrapText="1"/>
    </xf>
    <xf numFmtId="0" fontId="10" fillId="3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62" fillId="0" borderId="0" xfId="0" applyFont="1" applyAlignment="1">
      <alignment horizontal="center" vertical="center"/>
    </xf>
    <xf numFmtId="10" fontId="10" fillId="0" borderId="2" xfId="0" applyNumberFormat="1" applyFont="1" applyFill="1" applyBorder="1" applyAlignment="1">
      <alignment horizontal="center" vertical="center" wrapText="1"/>
    </xf>
    <xf numFmtId="0" fontId="10" fillId="0" borderId="2" xfId="5" applyFont="1" applyBorder="1" applyAlignment="1">
      <alignment vertical="top" wrapText="1"/>
    </xf>
    <xf numFmtId="0" fontId="10" fillId="0" borderId="2" xfId="5" applyFont="1" applyBorder="1" applyAlignment="1">
      <alignment horizontal="center" vertical="center" wrapText="1"/>
    </xf>
    <xf numFmtId="0" fontId="10" fillId="0" borderId="3" xfId="5" applyFont="1" applyBorder="1" applyAlignment="1">
      <alignment vertical="top" wrapText="1"/>
    </xf>
    <xf numFmtId="0" fontId="10" fillId="0" borderId="10" xfId="5" applyFont="1" applyBorder="1" applyAlignment="1">
      <alignment vertical="top" wrapText="1"/>
    </xf>
    <xf numFmtId="0" fontId="10" fillId="0" borderId="10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readingOrder="1"/>
    </xf>
    <xf numFmtId="43" fontId="20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/>
    </xf>
    <xf numFmtId="0" fontId="10" fillId="0" borderId="2" xfId="0" quotePrefix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NumberFormat="1" applyFont="1" applyFill="1" applyBorder="1" applyAlignment="1">
      <alignment horizontal="center" vertical="center"/>
    </xf>
    <xf numFmtId="0" fontId="10" fillId="0" borderId="2" xfId="3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0" fillId="6" borderId="2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/>
    <xf numFmtId="0" fontId="10" fillId="6" borderId="3" xfId="0" applyFont="1" applyFill="1" applyBorder="1"/>
    <xf numFmtId="0" fontId="10" fillId="6" borderId="2" xfId="0" applyFont="1" applyFill="1" applyBorder="1"/>
    <xf numFmtId="0" fontId="57" fillId="6" borderId="0" xfId="0" applyFont="1" applyFill="1"/>
    <xf numFmtId="0" fontId="10" fillId="0" borderId="5" xfId="0" quotePrefix="1" applyFont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 wrapText="1"/>
    </xf>
    <xf numFmtId="49" fontId="10" fillId="5" borderId="2" xfId="0" quotePrefix="1" applyNumberFormat="1" applyFont="1" applyFill="1" applyBorder="1" applyAlignment="1">
      <alignment horizontal="center" vertical="center" wrapText="1"/>
    </xf>
    <xf numFmtId="9" fontId="10" fillId="0" borderId="2" xfId="0" quotePrefix="1" applyNumberFormat="1" applyFont="1" applyBorder="1" applyAlignment="1">
      <alignment horizontal="center" vertical="center"/>
    </xf>
    <xf numFmtId="4" fontId="57" fillId="0" borderId="0" xfId="0" applyNumberFormat="1" applyFont="1"/>
    <xf numFmtId="0" fontId="12" fillId="0" borderId="2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7" fillId="13" borderId="4" xfId="13" applyFont="1" applyFill="1" applyBorder="1" applyAlignment="1">
      <alignment horizontal="left" vertical="center"/>
    </xf>
    <xf numFmtId="0" fontId="17" fillId="13" borderId="8" xfId="13" applyFont="1" applyFill="1" applyBorder="1" applyAlignment="1">
      <alignment horizontal="left" vertical="center"/>
    </xf>
    <xf numFmtId="0" fontId="36" fillId="13" borderId="7" xfId="13" applyFont="1" applyFill="1" applyBorder="1" applyAlignment="1">
      <alignment vertical="top" wrapText="1"/>
    </xf>
    <xf numFmtId="0" fontId="36" fillId="13" borderId="7" xfId="13" applyFont="1" applyFill="1" applyBorder="1" applyAlignment="1">
      <alignment vertical="center"/>
    </xf>
    <xf numFmtId="41" fontId="36" fillId="13" borderId="7" xfId="13" applyNumberFormat="1" applyFont="1" applyFill="1" applyBorder="1" applyAlignment="1">
      <alignment vertical="center"/>
    </xf>
    <xf numFmtId="165" fontId="36" fillId="13" borderId="7" xfId="10" applyNumberFormat="1" applyFont="1" applyFill="1" applyBorder="1" applyAlignment="1">
      <alignment vertical="center"/>
    </xf>
    <xf numFmtId="0" fontId="13" fillId="13" borderId="0" xfId="13" applyFont="1" applyFill="1"/>
    <xf numFmtId="9" fontId="38" fillId="10" borderId="6" xfId="13" applyNumberFormat="1" applyFont="1" applyFill="1" applyBorder="1" applyAlignment="1">
      <alignment vertical="top" wrapText="1"/>
    </xf>
    <xf numFmtId="0" fontId="56" fillId="0" borderId="0" xfId="0" applyFont="1" applyAlignment="1">
      <alignment vertical="center"/>
    </xf>
    <xf numFmtId="0" fontId="22" fillId="0" borderId="0" xfId="0" applyFont="1"/>
    <xf numFmtId="0" fontId="66" fillId="0" borderId="0" xfId="0" applyFont="1"/>
    <xf numFmtId="49" fontId="64" fillId="3" borderId="2" xfId="0" applyNumberFormat="1" applyFont="1" applyFill="1" applyBorder="1" applyAlignment="1">
      <alignment vertical="center" wrapText="1"/>
    </xf>
    <xf numFmtId="49" fontId="64" fillId="3" borderId="0" xfId="0" applyNumberFormat="1" applyFont="1" applyFill="1" applyBorder="1" applyAlignment="1">
      <alignment vertical="center" wrapText="1"/>
    </xf>
    <xf numFmtId="49" fontId="64" fillId="3" borderId="1" xfId="0" applyNumberFormat="1" applyFont="1" applyFill="1" applyBorder="1" applyAlignment="1">
      <alignment vertical="center" wrapText="1"/>
    </xf>
    <xf numFmtId="9" fontId="22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0" fontId="22" fillId="0" borderId="2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10" fontId="22" fillId="0" borderId="0" xfId="0" applyNumberFormat="1" applyFont="1" applyBorder="1" applyAlignment="1">
      <alignment horizontal="center" vertical="center"/>
    </xf>
    <xf numFmtId="10" fontId="66" fillId="0" borderId="0" xfId="0" applyNumberFormat="1" applyFont="1" applyBorder="1" applyAlignment="1">
      <alignment horizontal="center" vertical="center"/>
    </xf>
    <xf numFmtId="0" fontId="64" fillId="0" borderId="2" xfId="0" applyFont="1" applyBorder="1" applyAlignment="1">
      <alignment horizontal="center" vertical="center"/>
    </xf>
    <xf numFmtId="9" fontId="22" fillId="0" borderId="0" xfId="0" applyNumberFormat="1" applyFont="1" applyBorder="1" applyAlignment="1">
      <alignment horizontal="center" vertical="center"/>
    </xf>
    <xf numFmtId="9" fontId="66" fillId="0" borderId="0" xfId="0" applyNumberFormat="1" applyFont="1" applyBorder="1" applyAlignment="1">
      <alignment horizontal="center" vertical="center"/>
    </xf>
    <xf numFmtId="0" fontId="64" fillId="0" borderId="2" xfId="0" applyFont="1" applyBorder="1" applyAlignment="1">
      <alignment horizontal="center" vertical="center" wrapText="1"/>
    </xf>
    <xf numFmtId="9" fontId="64" fillId="0" borderId="2" xfId="0" applyNumberFormat="1" applyFont="1" applyBorder="1" applyAlignment="1">
      <alignment horizontal="center" vertical="center"/>
    </xf>
    <xf numFmtId="10" fontId="22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58" fillId="3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2" fillId="0" borderId="2" xfId="2" applyNumberFormat="1" applyFont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/>
    </xf>
    <xf numFmtId="0" fontId="57" fillId="0" borderId="17" xfId="0" applyFont="1" applyBorder="1"/>
    <xf numFmtId="0" fontId="57" fillId="0" borderId="1" xfId="0" applyFont="1" applyBorder="1"/>
    <xf numFmtId="0" fontId="10" fillId="0" borderId="2" xfId="0" applyFont="1" applyBorder="1" applyAlignment="1">
      <alignment horizontal="center" vertical="center"/>
    </xf>
    <xf numFmtId="0" fontId="60" fillId="0" borderId="2" xfId="0" applyNumberFormat="1" applyFont="1" applyBorder="1" applyAlignment="1">
      <alignment horizontal="center" vertical="center"/>
    </xf>
    <xf numFmtId="0" fontId="57" fillId="0" borderId="2" xfId="0" applyNumberFormat="1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/>
    </xf>
    <xf numFmtId="1" fontId="64" fillId="0" borderId="2" xfId="0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vertical="top" wrapText="1"/>
    </xf>
    <xf numFmtId="10" fontId="14" fillId="0" borderId="2" xfId="3" quotePrefix="1" applyNumberFormat="1" applyFont="1" applyBorder="1" applyAlignment="1">
      <alignment horizontal="center" vertical="center" wrapText="1"/>
    </xf>
    <xf numFmtId="10" fontId="14" fillId="0" borderId="2" xfId="3" applyNumberFormat="1" applyFont="1" applyBorder="1" applyAlignment="1">
      <alignment horizontal="center" vertical="center" wrapText="1"/>
    </xf>
    <xf numFmtId="9" fontId="14" fillId="0" borderId="2" xfId="3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top" wrapText="1"/>
    </xf>
    <xf numFmtId="0" fontId="25" fillId="3" borderId="2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 vertical="center"/>
    </xf>
    <xf numFmtId="0" fontId="7" fillId="0" borderId="5" xfId="0" quotePrefix="1" applyFont="1" applyBorder="1" applyAlignment="1">
      <alignment horizontal="center" vertical="center"/>
    </xf>
    <xf numFmtId="0" fontId="7" fillId="3" borderId="7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top" wrapText="1" readingOrder="1"/>
    </xf>
    <xf numFmtId="0" fontId="7" fillId="3" borderId="6" xfId="0" applyFont="1" applyFill="1" applyBorder="1" applyAlignment="1">
      <alignment horizontal="left" vertical="top" wrapText="1" readingOrder="1"/>
    </xf>
    <xf numFmtId="0" fontId="10" fillId="0" borderId="3" xfId="0" applyFont="1" applyBorder="1" applyAlignment="1">
      <alignment horizontal="left" vertical="top" wrapText="1" readingOrder="1"/>
    </xf>
    <xf numFmtId="0" fontId="10" fillId="0" borderId="7" xfId="0" applyFont="1" applyBorder="1" applyAlignment="1">
      <alignment horizontal="left" vertical="top" wrapText="1" readingOrder="1"/>
    </xf>
    <xf numFmtId="0" fontId="10" fillId="0" borderId="6" xfId="0" applyFont="1" applyBorder="1" applyAlignment="1">
      <alignment horizontal="left" vertical="top" wrapText="1" readingOrder="1"/>
    </xf>
    <xf numFmtId="0" fontId="10" fillId="3" borderId="3" xfId="0" applyFont="1" applyFill="1" applyBorder="1" applyAlignment="1">
      <alignment horizontal="left" vertical="top" wrapText="1" readingOrder="1"/>
    </xf>
    <xf numFmtId="0" fontId="10" fillId="3" borderId="7" xfId="0" applyFont="1" applyFill="1" applyBorder="1" applyAlignment="1">
      <alignment horizontal="left" vertical="top" wrapText="1" readingOrder="1"/>
    </xf>
    <xf numFmtId="0" fontId="10" fillId="3" borderId="6" xfId="0" applyFont="1" applyFill="1" applyBorder="1" applyAlignment="1">
      <alignment horizontal="left" vertical="top" wrapText="1" readingOrder="1"/>
    </xf>
    <xf numFmtId="0" fontId="9" fillId="0" borderId="3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 readingOrder="1"/>
    </xf>
    <xf numFmtId="0" fontId="7" fillId="0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top" wrapText="1"/>
    </xf>
    <xf numFmtId="0" fontId="7" fillId="0" borderId="2" xfId="0" applyFont="1" applyBorder="1"/>
    <xf numFmtId="0" fontId="7" fillId="0" borderId="2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9" fontId="10" fillId="3" borderId="4" xfId="0" quotePrefix="1" applyNumberFormat="1" applyFont="1" applyFill="1" applyBorder="1" applyAlignment="1">
      <alignment horizontal="center" vertical="center" wrapText="1" readingOrder="1"/>
    </xf>
    <xf numFmtId="9" fontId="10" fillId="3" borderId="5" xfId="0" quotePrefix="1" applyNumberFormat="1" applyFont="1" applyFill="1" applyBorder="1" applyAlignment="1">
      <alignment horizontal="center" vertical="center" wrapText="1" readingOrder="1"/>
    </xf>
    <xf numFmtId="0" fontId="7" fillId="3" borderId="2" xfId="0" applyFont="1" applyFill="1" applyBorder="1" applyAlignment="1">
      <alignment horizontal="left" vertical="top" wrapText="1"/>
    </xf>
    <xf numFmtId="0" fontId="7" fillId="7" borderId="3" xfId="0" applyFont="1" applyFill="1" applyBorder="1" applyAlignment="1">
      <alignment horizontal="left" vertical="top" wrapText="1"/>
    </xf>
    <xf numFmtId="0" fontId="7" fillId="7" borderId="7" xfId="0" applyFont="1" applyFill="1" applyBorder="1" applyAlignment="1">
      <alignment horizontal="left" vertical="top" wrapText="1"/>
    </xf>
    <xf numFmtId="0" fontId="7" fillId="7" borderId="6" xfId="0" applyFont="1" applyFill="1" applyBorder="1" applyAlignment="1">
      <alignment horizontal="left" vertical="top" wrapText="1"/>
    </xf>
    <xf numFmtId="0" fontId="10" fillId="0" borderId="2" xfId="5" applyFont="1" applyFill="1" applyBorder="1" applyAlignment="1">
      <alignment horizontal="left" vertical="top" wrapText="1" readingOrder="1"/>
    </xf>
    <xf numFmtId="0" fontId="10" fillId="3" borderId="2" xfId="2" applyNumberFormat="1" applyFont="1" applyFill="1" applyBorder="1" applyAlignment="1">
      <alignment horizontal="center" vertical="center" wrapText="1" readingOrder="1"/>
    </xf>
    <xf numFmtId="0" fontId="7" fillId="3" borderId="2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 readingOrder="1"/>
    </xf>
    <xf numFmtId="0" fontId="10" fillId="0" borderId="6" xfId="0" applyFont="1" applyFill="1" applyBorder="1" applyAlignment="1">
      <alignment horizontal="center" vertical="center" wrapText="1" readingOrder="1"/>
    </xf>
    <xf numFmtId="9" fontId="7" fillId="0" borderId="3" xfId="0" applyNumberFormat="1" applyFont="1" applyFill="1" applyBorder="1" applyAlignment="1">
      <alignment horizontal="center" vertical="center"/>
    </xf>
    <xf numFmtId="9" fontId="7" fillId="0" borderId="6" xfId="0" applyNumberFormat="1" applyFont="1" applyFill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9" fontId="7" fillId="0" borderId="6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49" fontId="8" fillId="3" borderId="4" xfId="0" applyNumberFormat="1" applyFont="1" applyFill="1" applyBorder="1" applyAlignment="1">
      <alignment horizontal="left" vertical="center" wrapText="1"/>
    </xf>
    <xf numFmtId="49" fontId="8" fillId="3" borderId="8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9" fontId="10" fillId="3" borderId="2" xfId="0" quotePrefix="1" applyNumberFormat="1" applyFont="1" applyFill="1" applyBorder="1" applyAlignment="1">
      <alignment horizontal="center" vertical="top" wrapText="1" readingOrder="1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9" fontId="7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32" fillId="0" borderId="0" xfId="13" applyFont="1" applyAlignment="1">
      <alignment horizontal="center"/>
    </xf>
    <xf numFmtId="0" fontId="34" fillId="0" borderId="1" xfId="13" applyFont="1" applyBorder="1" applyAlignment="1">
      <alignment horizontal="center"/>
    </xf>
    <xf numFmtId="0" fontId="20" fillId="9" borderId="4" xfId="13" applyFont="1" applyFill="1" applyBorder="1" applyAlignment="1">
      <alignment horizontal="center" vertical="center" wrapText="1"/>
    </xf>
    <xf numFmtId="0" fontId="20" fillId="9" borderId="8" xfId="13" applyFont="1" applyFill="1" applyBorder="1" applyAlignment="1">
      <alignment horizontal="center" vertical="center" wrapText="1"/>
    </xf>
    <xf numFmtId="0" fontId="20" fillId="9" borderId="5" xfId="13" applyFont="1" applyFill="1" applyBorder="1" applyAlignment="1">
      <alignment horizontal="center" vertical="center" wrapText="1"/>
    </xf>
    <xf numFmtId="0" fontId="34" fillId="9" borderId="3" xfId="13" applyFont="1" applyFill="1" applyBorder="1" applyAlignment="1">
      <alignment horizontal="center" vertical="center" wrapText="1"/>
    </xf>
    <xf numFmtId="0" fontId="34" fillId="9" borderId="7" xfId="13" applyFont="1" applyFill="1" applyBorder="1" applyAlignment="1">
      <alignment horizontal="center" vertical="center" wrapText="1"/>
    </xf>
    <xf numFmtId="0" fontId="34" fillId="9" borderId="6" xfId="13" applyFont="1" applyFill="1" applyBorder="1" applyAlignment="1">
      <alignment horizontal="center" vertical="center" wrapText="1"/>
    </xf>
    <xf numFmtId="0" fontId="34" fillId="9" borderId="3" xfId="13" applyFont="1" applyFill="1" applyBorder="1" applyAlignment="1">
      <alignment horizontal="center" vertical="top" wrapText="1"/>
    </xf>
    <xf numFmtId="0" fontId="34" fillId="9" borderId="7" xfId="13" applyFont="1" applyFill="1" applyBorder="1" applyAlignment="1">
      <alignment horizontal="center" vertical="top" wrapText="1"/>
    </xf>
    <xf numFmtId="0" fontId="34" fillId="9" borderId="6" xfId="13" applyFont="1" applyFill="1" applyBorder="1" applyAlignment="1">
      <alignment horizontal="center" vertical="top" wrapText="1"/>
    </xf>
    <xf numFmtId="0" fontId="34" fillId="9" borderId="2" xfId="13" applyFont="1" applyFill="1" applyBorder="1" applyAlignment="1">
      <alignment horizontal="center" vertical="center" wrapText="1"/>
    </xf>
    <xf numFmtId="0" fontId="34" fillId="9" borderId="2" xfId="13" applyFont="1" applyFill="1" applyBorder="1" applyAlignment="1">
      <alignment horizontal="center" vertical="top" wrapText="1"/>
    </xf>
    <xf numFmtId="49" fontId="34" fillId="9" borderId="20" xfId="13" applyNumberFormat="1" applyFont="1" applyFill="1" applyBorder="1" applyAlignment="1">
      <alignment horizontal="left" vertical="center" wrapText="1"/>
    </xf>
    <xf numFmtId="49" fontId="34" fillId="9" borderId="1" xfId="13" applyNumberFormat="1" applyFont="1" applyFill="1" applyBorder="1" applyAlignment="1">
      <alignment horizontal="left" vertical="center" wrapText="1"/>
    </xf>
    <xf numFmtId="49" fontId="34" fillId="9" borderId="21" xfId="13" applyNumberFormat="1" applyFont="1" applyFill="1" applyBorder="1" applyAlignment="1">
      <alignment horizontal="left" vertical="center" wrapText="1"/>
    </xf>
    <xf numFmtId="49" fontId="20" fillId="9" borderId="3" xfId="13" applyNumberFormat="1" applyFont="1" applyFill="1" applyBorder="1" applyAlignment="1">
      <alignment horizontal="center" vertical="center" wrapText="1"/>
    </xf>
    <xf numFmtId="49" fontId="20" fillId="9" borderId="6" xfId="13" applyNumberFormat="1" applyFont="1" applyFill="1" applyBorder="1" applyAlignment="1">
      <alignment horizontal="center" vertical="center" wrapText="1"/>
    </xf>
    <xf numFmtId="0" fontId="20" fillId="9" borderId="3" xfId="13" applyFont="1" applyFill="1" applyBorder="1" applyAlignment="1">
      <alignment horizontal="center" vertical="center" wrapText="1"/>
    </xf>
    <xf numFmtId="0" fontId="20" fillId="9" borderId="6" xfId="13" applyFont="1" applyFill="1" applyBorder="1" applyAlignment="1">
      <alignment horizontal="center" vertical="center" wrapText="1"/>
    </xf>
    <xf numFmtId="0" fontId="34" fillId="9" borderId="4" xfId="13" applyFont="1" applyFill="1" applyBorder="1" applyAlignment="1">
      <alignment horizontal="center" vertical="center" wrapText="1"/>
    </xf>
    <xf numFmtId="0" fontId="34" fillId="9" borderId="5" xfId="13" applyFont="1" applyFill="1" applyBorder="1" applyAlignment="1">
      <alignment horizontal="center" vertical="center" wrapText="1"/>
    </xf>
    <xf numFmtId="49" fontId="20" fillId="9" borderId="4" xfId="13" applyNumberFormat="1" applyFont="1" applyFill="1" applyBorder="1" applyAlignment="1">
      <alignment horizontal="center" vertical="center" wrapText="1"/>
    </xf>
    <xf numFmtId="49" fontId="20" fillId="9" borderId="8" xfId="13" applyNumberFormat="1" applyFont="1" applyFill="1" applyBorder="1" applyAlignment="1">
      <alignment horizontal="center" vertical="center" wrapText="1"/>
    </xf>
    <xf numFmtId="49" fontId="20" fillId="9" borderId="5" xfId="13" applyNumberFormat="1" applyFont="1" applyFill="1" applyBorder="1" applyAlignment="1">
      <alignment horizontal="center" vertical="center" wrapText="1"/>
    </xf>
    <xf numFmtId="0" fontId="44" fillId="5" borderId="4" xfId="13" applyFont="1" applyFill="1" applyBorder="1" applyAlignment="1">
      <alignment horizontal="left" vertical="center" wrapText="1"/>
    </xf>
    <xf numFmtId="0" fontId="44" fillId="5" borderId="8" xfId="13" applyFont="1" applyFill="1" applyBorder="1" applyAlignment="1">
      <alignment horizontal="left" vertical="center" wrapText="1"/>
    </xf>
    <xf numFmtId="0" fontId="44" fillId="5" borderId="5" xfId="13" applyFont="1" applyFill="1" applyBorder="1" applyAlignment="1">
      <alignment horizontal="left" vertical="center" wrapText="1"/>
    </xf>
    <xf numFmtId="0" fontId="17" fillId="6" borderId="4" xfId="13" applyFont="1" applyFill="1" applyBorder="1" applyAlignment="1">
      <alignment horizontal="left" vertical="center"/>
    </xf>
    <xf numFmtId="0" fontId="17" fillId="6" borderId="8" xfId="13" applyFont="1" applyFill="1" applyBorder="1" applyAlignment="1">
      <alignment horizontal="left" vertical="center"/>
    </xf>
    <xf numFmtId="0" fontId="17" fillId="6" borderId="5" xfId="13" applyFont="1" applyFill="1" applyBorder="1" applyAlignment="1">
      <alignment horizontal="left" vertical="center"/>
    </xf>
    <xf numFmtId="0" fontId="10" fillId="10" borderId="4" xfId="13" applyFont="1" applyFill="1" applyBorder="1" applyAlignment="1">
      <alignment horizontal="center" vertical="center"/>
    </xf>
    <xf numFmtId="0" fontId="10" fillId="10" borderId="8" xfId="13" applyFont="1" applyFill="1" applyBorder="1" applyAlignment="1">
      <alignment horizontal="center" vertical="center"/>
    </xf>
    <xf numFmtId="0" fontId="10" fillId="10" borderId="5" xfId="13" applyFont="1" applyFill="1" applyBorder="1" applyAlignment="1">
      <alignment horizontal="center" vertical="center"/>
    </xf>
    <xf numFmtId="49" fontId="34" fillId="9" borderId="2" xfId="13" applyNumberFormat="1" applyFont="1" applyFill="1" applyBorder="1" applyAlignment="1">
      <alignment horizontal="left" vertical="center" wrapText="1"/>
    </xf>
    <xf numFmtId="49" fontId="42" fillId="3" borderId="4" xfId="13" applyNumberFormat="1" applyFont="1" applyFill="1" applyBorder="1" applyAlignment="1">
      <alignment horizontal="center" vertical="center" wrapText="1"/>
    </xf>
    <xf numFmtId="49" fontId="42" fillId="3" borderId="8" xfId="13" applyNumberFormat="1" applyFont="1" applyFill="1" applyBorder="1" applyAlignment="1">
      <alignment horizontal="center" vertical="center" wrapText="1"/>
    </xf>
    <xf numFmtId="49" fontId="42" fillId="3" borderId="5" xfId="13" applyNumberFormat="1" applyFont="1" applyFill="1" applyBorder="1" applyAlignment="1">
      <alignment horizontal="center" vertical="center" wrapText="1"/>
    </xf>
    <xf numFmtId="49" fontId="34" fillId="9" borderId="4" xfId="13" applyNumberFormat="1" applyFont="1" applyFill="1" applyBorder="1" applyAlignment="1">
      <alignment horizontal="left" vertical="center" wrapText="1"/>
    </xf>
    <xf numFmtId="49" fontId="34" fillId="9" borderId="8" xfId="13" applyNumberFormat="1" applyFont="1" applyFill="1" applyBorder="1" applyAlignment="1">
      <alignment horizontal="left" vertical="center" wrapText="1"/>
    </xf>
    <xf numFmtId="0" fontId="44" fillId="0" borderId="4" xfId="13" applyFont="1" applyBorder="1" applyAlignment="1">
      <alignment horizontal="center" vertical="center" wrapText="1"/>
    </xf>
    <xf numFmtId="0" fontId="44" fillId="0" borderId="8" xfId="13" applyFont="1" applyBorder="1" applyAlignment="1">
      <alignment horizontal="center" vertical="center" wrapText="1"/>
    </xf>
    <xf numFmtId="49" fontId="47" fillId="10" borderId="4" xfId="13" applyNumberFormat="1" applyFont="1" applyFill="1" applyBorder="1" applyAlignment="1">
      <alignment horizontal="left" vertical="center" wrapText="1"/>
    </xf>
    <xf numFmtId="49" fontId="47" fillId="10" borderId="8" xfId="13" applyNumberFormat="1" applyFont="1" applyFill="1" applyBorder="1" applyAlignment="1">
      <alignment horizontal="left" vertical="center" wrapText="1"/>
    </xf>
    <xf numFmtId="49" fontId="47" fillId="10" borderId="5" xfId="13" applyNumberFormat="1" applyFont="1" applyFill="1" applyBorder="1" applyAlignment="1">
      <alignment horizontal="left" vertical="center" wrapText="1"/>
    </xf>
    <xf numFmtId="0" fontId="39" fillId="10" borderId="4" xfId="13" applyFont="1" applyFill="1" applyBorder="1" applyAlignment="1">
      <alignment horizontal="left" vertical="center"/>
    </xf>
    <xf numFmtId="0" fontId="39" fillId="10" borderId="8" xfId="13" applyFont="1" applyFill="1" applyBorder="1" applyAlignment="1">
      <alignment horizontal="left" vertical="center"/>
    </xf>
    <xf numFmtId="0" fontId="39" fillId="10" borderId="5" xfId="13" applyFont="1" applyFill="1" applyBorder="1" applyAlignment="1">
      <alignment horizontal="left" vertical="center"/>
    </xf>
    <xf numFmtId="0" fontId="47" fillId="10" borderId="2" xfId="13" applyFont="1" applyFill="1" applyBorder="1" applyAlignment="1">
      <alignment horizontal="left" vertical="center" wrapText="1"/>
    </xf>
    <xf numFmtId="49" fontId="37" fillId="0" borderId="2" xfId="13" quotePrefix="1" applyNumberFormat="1" applyFont="1" applyFill="1" applyBorder="1" applyAlignment="1">
      <alignment horizontal="center" vertical="center" wrapText="1"/>
    </xf>
    <xf numFmtId="49" fontId="37" fillId="0" borderId="2" xfId="13" applyNumberFormat="1" applyFont="1" applyFill="1" applyBorder="1" applyAlignment="1">
      <alignment horizontal="center" vertical="center" wrapText="1"/>
    </xf>
    <xf numFmtId="49" fontId="37" fillId="0" borderId="3" xfId="13" applyNumberFormat="1" applyFont="1" applyFill="1" applyBorder="1" applyAlignment="1">
      <alignment vertical="top" wrapText="1"/>
    </xf>
    <xf numFmtId="49" fontId="37" fillId="0" borderId="7" xfId="13" applyNumberFormat="1" applyFont="1" applyFill="1" applyBorder="1" applyAlignment="1">
      <alignment vertical="top" wrapText="1"/>
    </xf>
    <xf numFmtId="49" fontId="37" fillId="0" borderId="6" xfId="13" applyNumberFormat="1" applyFont="1" applyFill="1" applyBorder="1" applyAlignment="1">
      <alignment vertical="top" wrapText="1"/>
    </xf>
    <xf numFmtId="4" fontId="37" fillId="0" borderId="2" xfId="13" applyNumberFormat="1" applyFont="1" applyFill="1" applyBorder="1" applyAlignment="1">
      <alignment horizontal="right" vertical="center"/>
    </xf>
    <xf numFmtId="49" fontId="37" fillId="0" borderId="2" xfId="13" applyNumberFormat="1" applyFont="1" applyFill="1" applyBorder="1" applyAlignment="1">
      <alignment horizontal="center" vertical="top" wrapText="1"/>
    </xf>
    <xf numFmtId="49" fontId="37" fillId="0" borderId="2" xfId="13" applyNumberFormat="1" applyFont="1" applyFill="1" applyBorder="1" applyAlignment="1">
      <alignment vertical="top" wrapText="1"/>
    </xf>
    <xf numFmtId="43" fontId="37" fillId="0" borderId="2" xfId="13" applyNumberFormat="1" applyFont="1" applyFill="1" applyBorder="1" applyAlignment="1">
      <alignment horizontal="center" vertical="center"/>
    </xf>
    <xf numFmtId="49" fontId="44" fillId="10" borderId="2" xfId="13" applyNumberFormat="1" applyFont="1" applyFill="1" applyBorder="1" applyAlignment="1">
      <alignment horizontal="left" vertical="center" wrapText="1"/>
    </xf>
    <xf numFmtId="4" fontId="37" fillId="0" borderId="2" xfId="13" applyNumberFormat="1" applyFont="1" applyFill="1" applyBorder="1" applyAlignment="1">
      <alignment horizontal="right" vertical="center" wrapText="1"/>
    </xf>
    <xf numFmtId="41" fontId="37" fillId="0" borderId="2" xfId="13" applyNumberFormat="1" applyFont="1" applyFill="1" applyBorder="1" applyAlignment="1">
      <alignment horizontal="right" vertical="center"/>
    </xf>
    <xf numFmtId="39" fontId="37" fillId="0" borderId="2" xfId="10" applyNumberFormat="1" applyFont="1" applyFill="1" applyBorder="1" applyAlignment="1">
      <alignment horizontal="right" vertical="center" wrapText="1"/>
    </xf>
    <xf numFmtId="49" fontId="47" fillId="10" borderId="2" xfId="13" applyNumberFormat="1" applyFont="1" applyFill="1" applyBorder="1" applyAlignment="1">
      <alignment horizontal="left" vertical="center" wrapText="1"/>
    </xf>
    <xf numFmtId="49" fontId="37" fillId="0" borderId="4" xfId="13" applyNumberFormat="1" applyFont="1" applyFill="1" applyBorder="1" applyAlignment="1">
      <alignment horizontal="left" vertical="center" wrapText="1"/>
    </xf>
    <xf numFmtId="49" fontId="37" fillId="0" borderId="8" xfId="13" quotePrefix="1" applyNumberFormat="1" applyFont="1" applyFill="1" applyBorder="1" applyAlignment="1">
      <alignment horizontal="left" vertical="center" wrapText="1"/>
    </xf>
    <xf numFmtId="49" fontId="37" fillId="0" borderId="5" xfId="13" quotePrefix="1" applyNumberFormat="1" applyFont="1" applyFill="1" applyBorder="1" applyAlignment="1">
      <alignment horizontal="left" vertical="center" wrapText="1"/>
    </xf>
    <xf numFmtId="0" fontId="17" fillId="10" borderId="4" xfId="13" applyFont="1" applyFill="1" applyBorder="1" applyAlignment="1">
      <alignment horizontal="left" vertical="center" wrapText="1"/>
    </xf>
    <xf numFmtId="0" fontId="17" fillId="10" borderId="8" xfId="13" applyFont="1" applyFill="1" applyBorder="1" applyAlignment="1">
      <alignment horizontal="left" vertical="center" wrapText="1"/>
    </xf>
    <xf numFmtId="0" fontId="17" fillId="10" borderId="5" xfId="13" applyFont="1" applyFill="1" applyBorder="1" applyAlignment="1">
      <alignment horizontal="left" vertical="center" wrapText="1"/>
    </xf>
    <xf numFmtId="0" fontId="37" fillId="6" borderId="4" xfId="0" applyFont="1" applyFill="1" applyBorder="1" applyAlignment="1">
      <alignment horizontal="left" vertical="center" wrapText="1"/>
    </xf>
    <xf numFmtId="0" fontId="37" fillId="6" borderId="8" xfId="0" applyFont="1" applyFill="1" applyBorder="1" applyAlignment="1">
      <alignment horizontal="left" vertical="center" wrapText="1"/>
    </xf>
    <xf numFmtId="0" fontId="37" fillId="6" borderId="5" xfId="0" applyFont="1" applyFill="1" applyBorder="1" applyAlignment="1">
      <alignment horizontal="left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39" fillId="6" borderId="2" xfId="13" applyFont="1" applyFill="1" applyBorder="1" applyAlignment="1">
      <alignment horizontal="left" vertical="center" wrapText="1"/>
    </xf>
    <xf numFmtId="0" fontId="38" fillId="0" borderId="2" xfId="13" applyFont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top" wrapText="1" readingOrder="1"/>
    </xf>
    <xf numFmtId="0" fontId="10" fillId="0" borderId="8" xfId="0" applyFont="1" applyFill="1" applyBorder="1" applyAlignment="1">
      <alignment horizontal="center" vertical="top" wrapText="1" readingOrder="1"/>
    </xf>
    <xf numFmtId="0" fontId="10" fillId="0" borderId="5" xfId="0" applyFont="1" applyFill="1" applyBorder="1" applyAlignment="1">
      <alignment horizontal="center" vertical="top" wrapText="1" readingOrder="1"/>
    </xf>
    <xf numFmtId="0" fontId="17" fillId="3" borderId="4" xfId="0" applyFont="1" applyFill="1" applyBorder="1" applyAlignment="1">
      <alignment horizontal="center" wrapText="1"/>
    </xf>
    <xf numFmtId="0" fontId="17" fillId="3" borderId="8" xfId="0" applyFont="1" applyFill="1" applyBorder="1" applyAlignment="1">
      <alignment horizontal="center" wrapText="1"/>
    </xf>
    <xf numFmtId="0" fontId="17" fillId="3" borderId="5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top" wrapText="1" readingOrder="1"/>
    </xf>
    <xf numFmtId="0" fontId="10" fillId="0" borderId="8" xfId="0" applyFont="1" applyBorder="1" applyAlignment="1">
      <alignment horizontal="center" vertical="top" wrapText="1" readingOrder="1"/>
    </xf>
    <xf numFmtId="0" fontId="10" fillId="0" borderId="5" xfId="0" applyFont="1" applyBorder="1" applyAlignment="1">
      <alignment horizontal="center" vertical="top" wrapText="1" readingOrder="1"/>
    </xf>
    <xf numFmtId="49" fontId="17" fillId="3" borderId="4" xfId="0" applyNumberFormat="1" applyFont="1" applyFill="1" applyBorder="1" applyAlignment="1">
      <alignment horizontal="left" vertical="center" wrapText="1"/>
    </xf>
    <xf numFmtId="49" fontId="17" fillId="3" borderId="8" xfId="0" applyNumberFormat="1" applyFont="1" applyFill="1" applyBorder="1" applyAlignment="1">
      <alignment horizontal="left" vertical="center" wrapText="1"/>
    </xf>
    <xf numFmtId="49" fontId="17" fillId="3" borderId="5" xfId="0" applyNumberFormat="1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top" wrapText="1"/>
    </xf>
    <xf numFmtId="0" fontId="10" fillId="3" borderId="8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center"/>
    </xf>
    <xf numFmtId="0" fontId="56" fillId="0" borderId="0" xfId="0" applyFont="1" applyBorder="1" applyAlignment="1">
      <alignment horizont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59" fillId="3" borderId="2" xfId="0" applyFont="1" applyFill="1" applyBorder="1" applyAlignment="1">
      <alignment horizontal="center" vertical="center" wrapText="1"/>
    </xf>
    <xf numFmtId="0" fontId="58" fillId="3" borderId="2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64" fillId="0" borderId="4" xfId="0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4" fillId="0" borderId="5" xfId="0" applyFont="1" applyBorder="1" applyAlignment="1">
      <alignment horizontal="center" vertical="center" wrapText="1"/>
    </xf>
    <xf numFmtId="0" fontId="64" fillId="0" borderId="10" xfId="0" applyFont="1" applyBorder="1" applyAlignment="1">
      <alignment horizontal="center" vertical="center" wrapText="1"/>
    </xf>
    <xf numFmtId="0" fontId="64" fillId="0" borderId="11" xfId="0" applyFont="1" applyBorder="1" applyAlignment="1">
      <alignment horizontal="center" vertical="center" wrapText="1"/>
    </xf>
    <xf numFmtId="0" fontId="64" fillId="0" borderId="9" xfId="0" applyFont="1" applyBorder="1" applyAlignment="1">
      <alignment horizontal="center" vertical="center" wrapText="1"/>
    </xf>
    <xf numFmtId="0" fontId="64" fillId="0" borderId="12" xfId="0" applyFont="1" applyBorder="1" applyAlignment="1">
      <alignment horizontal="center" vertical="center" wrapText="1"/>
    </xf>
    <xf numFmtId="0" fontId="64" fillId="0" borderId="20" xfId="0" applyFont="1" applyBorder="1" applyAlignment="1">
      <alignment horizontal="center" vertical="center" wrapText="1"/>
    </xf>
    <xf numFmtId="0" fontId="64" fillId="0" borderId="21" xfId="0" applyFont="1" applyBorder="1" applyAlignment="1">
      <alignment horizontal="center" vertical="center" wrapText="1"/>
    </xf>
    <xf numFmtId="49" fontId="64" fillId="3" borderId="4" xfId="0" applyNumberFormat="1" applyFont="1" applyFill="1" applyBorder="1" applyAlignment="1">
      <alignment horizontal="left" vertical="center" wrapText="1"/>
    </xf>
    <xf numFmtId="49" fontId="64" fillId="3" borderId="8" xfId="0" applyNumberFormat="1" applyFont="1" applyFill="1" applyBorder="1" applyAlignment="1">
      <alignment horizontal="left" vertical="center" wrapText="1"/>
    </xf>
    <xf numFmtId="49" fontId="64" fillId="3" borderId="5" xfId="0" applyNumberFormat="1" applyFont="1" applyFill="1" applyBorder="1" applyAlignment="1">
      <alignment horizontal="left" vertical="center" wrapText="1"/>
    </xf>
    <xf numFmtId="0" fontId="64" fillId="0" borderId="4" xfId="0" applyFont="1" applyBorder="1" applyAlignment="1">
      <alignment horizontal="left" vertical="center" wrapText="1"/>
    </xf>
    <xf numFmtId="0" fontId="64" fillId="0" borderId="8" xfId="0" applyFont="1" applyBorder="1" applyAlignment="1">
      <alignment horizontal="left" vertical="center" wrapText="1"/>
    </xf>
    <xf numFmtId="0" fontId="64" fillId="0" borderId="5" xfId="0" applyFont="1" applyBorder="1" applyAlignment="1">
      <alignment horizontal="left" vertical="center" wrapText="1"/>
    </xf>
    <xf numFmtId="0" fontId="67" fillId="0" borderId="0" xfId="0" applyFont="1" applyAlignment="1">
      <alignment horizontal="center"/>
    </xf>
    <xf numFmtId="0" fontId="59" fillId="3" borderId="4" xfId="0" applyFont="1" applyFill="1" applyBorder="1" applyAlignment="1">
      <alignment horizontal="center" vertical="center" wrapText="1"/>
    </xf>
    <xf numFmtId="0" fontId="59" fillId="3" borderId="8" xfId="0" applyFont="1" applyFill="1" applyBorder="1" applyAlignment="1">
      <alignment horizontal="center" vertical="center" wrapText="1"/>
    </xf>
    <xf numFmtId="0" fontId="59" fillId="3" borderId="5" xfId="0" applyFont="1" applyFill="1" applyBorder="1" applyAlignment="1">
      <alignment horizontal="center" vertical="center" wrapText="1"/>
    </xf>
    <xf numFmtId="0" fontId="58" fillId="3" borderId="3" xfId="0" applyFont="1" applyFill="1" applyBorder="1" applyAlignment="1">
      <alignment horizontal="center" vertical="center" wrapText="1"/>
    </xf>
    <xf numFmtId="0" fontId="58" fillId="3" borderId="6" xfId="0" applyFont="1" applyFill="1" applyBorder="1" applyAlignment="1">
      <alignment horizontal="center" vertical="center" wrapText="1"/>
    </xf>
  </cellXfs>
  <cellStyles count="14">
    <cellStyle name="Comma" xfId="1" builtinId="3"/>
    <cellStyle name="Comma [0]" xfId="2" builtinId="6"/>
    <cellStyle name="Comma [0] 11" xfId="6"/>
    <cellStyle name="Comma [0] 2" xfId="7"/>
    <cellStyle name="Comma [0] 4" xfId="8"/>
    <cellStyle name="Comma 12" xfId="9"/>
    <cellStyle name="Comma 2" xfId="10"/>
    <cellStyle name="Hyperlink" xfId="4" builtinId="8"/>
    <cellStyle name="Normal" xfId="0" builtinId="0"/>
    <cellStyle name="Normal 2" xfId="5"/>
    <cellStyle name="Normal 3" xfId="11"/>
    <cellStyle name="Normal 3 2" xfId="13"/>
    <cellStyle name="Percent" xfId="3" builtinId="5"/>
    <cellStyle name="Percent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1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4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1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4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7" Type="http://schemas.openxmlformats.org/officeDocument/2006/relationships/comments" Target="../comments3.xml"/><Relationship Id="rId2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1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Relationship Id="rId6" Type="http://schemas.openxmlformats.org/officeDocument/2006/relationships/vmlDrawing" Target="../drawings/vmlDrawing3.v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192.168.1.25/SIM-APBD_2014/Dokumen_SKPD_DPA_22.asp?DRSK=SKPD%202.2&amp;Jdl_Dok=RENCANA&amp;Level=Rincian_Objek&amp;Per=2014&amp;Ubah=0&amp;Sat=1.18.01&amp;DPA=&amp;SKU=1.18&amp;UID=11801yosua_14&amp;PaW=7654556687654&amp;StK=1.18.1.18.01&amp;IDL=76572&amp;NmP=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Q512"/>
  <sheetViews>
    <sheetView topLeftCell="A8" zoomScale="80" zoomScaleNormal="80" workbookViewId="0">
      <selection activeCell="B8" sqref="B8:J8"/>
    </sheetView>
  </sheetViews>
  <sheetFormatPr defaultRowHeight="15" x14ac:dyDescent="0.25"/>
  <cols>
    <col min="2" max="2" width="24.85546875" customWidth="1"/>
    <col min="3" max="3" width="19.85546875" customWidth="1"/>
    <col min="4" max="4" width="19.28515625" style="400" customWidth="1"/>
    <col min="5" max="5" width="18.140625" customWidth="1"/>
    <col min="6" max="6" width="15.5703125" customWidth="1"/>
    <col min="7" max="7" width="16" customWidth="1"/>
    <col min="8" max="8" width="19.5703125" style="409" customWidth="1"/>
    <col min="9" max="9" width="16.85546875" customWidth="1"/>
    <col min="10" max="10" width="18.42578125" customWidth="1"/>
    <col min="12" max="12" width="30.42578125" customWidth="1"/>
    <col min="258" max="258" width="24.85546875" customWidth="1"/>
    <col min="259" max="259" width="19.85546875" customWidth="1"/>
    <col min="260" max="260" width="19.28515625" customWidth="1"/>
    <col min="261" max="261" width="18.140625" customWidth="1"/>
    <col min="262" max="262" width="15.5703125" customWidth="1"/>
    <col min="263" max="263" width="16" customWidth="1"/>
    <col min="264" max="264" width="19.5703125" customWidth="1"/>
    <col min="265" max="265" width="16.85546875" customWidth="1"/>
    <col min="266" max="266" width="18.42578125" customWidth="1"/>
    <col min="268" max="268" width="30.42578125" customWidth="1"/>
    <col min="514" max="514" width="24.85546875" customWidth="1"/>
    <col min="515" max="515" width="19.85546875" customWidth="1"/>
    <col min="516" max="516" width="19.28515625" customWidth="1"/>
    <col min="517" max="517" width="18.140625" customWidth="1"/>
    <col min="518" max="518" width="15.5703125" customWidth="1"/>
    <col min="519" max="519" width="16" customWidth="1"/>
    <col min="520" max="520" width="19.5703125" customWidth="1"/>
    <col min="521" max="521" width="16.85546875" customWidth="1"/>
    <col min="522" max="522" width="18.42578125" customWidth="1"/>
    <col min="524" max="524" width="30.42578125" customWidth="1"/>
    <col min="770" max="770" width="24.85546875" customWidth="1"/>
    <col min="771" max="771" width="19.85546875" customWidth="1"/>
    <col min="772" max="772" width="19.28515625" customWidth="1"/>
    <col min="773" max="773" width="18.140625" customWidth="1"/>
    <col min="774" max="774" width="15.5703125" customWidth="1"/>
    <col min="775" max="775" width="16" customWidth="1"/>
    <col min="776" max="776" width="19.5703125" customWidth="1"/>
    <col min="777" max="777" width="16.85546875" customWidth="1"/>
    <col min="778" max="778" width="18.42578125" customWidth="1"/>
    <col min="780" max="780" width="30.42578125" customWidth="1"/>
    <col min="1026" max="1026" width="24.85546875" customWidth="1"/>
    <col min="1027" max="1027" width="19.85546875" customWidth="1"/>
    <col min="1028" max="1028" width="19.28515625" customWidth="1"/>
    <col min="1029" max="1029" width="18.140625" customWidth="1"/>
    <col min="1030" max="1030" width="15.5703125" customWidth="1"/>
    <col min="1031" max="1031" width="16" customWidth="1"/>
    <col min="1032" max="1032" width="19.5703125" customWidth="1"/>
    <col min="1033" max="1033" width="16.85546875" customWidth="1"/>
    <col min="1034" max="1034" width="18.42578125" customWidth="1"/>
    <col min="1036" max="1036" width="30.42578125" customWidth="1"/>
    <col min="1282" max="1282" width="24.85546875" customWidth="1"/>
    <col min="1283" max="1283" width="19.85546875" customWidth="1"/>
    <col min="1284" max="1284" width="19.28515625" customWidth="1"/>
    <col min="1285" max="1285" width="18.140625" customWidth="1"/>
    <col min="1286" max="1286" width="15.5703125" customWidth="1"/>
    <col min="1287" max="1287" width="16" customWidth="1"/>
    <col min="1288" max="1288" width="19.5703125" customWidth="1"/>
    <col min="1289" max="1289" width="16.85546875" customWidth="1"/>
    <col min="1290" max="1290" width="18.42578125" customWidth="1"/>
    <col min="1292" max="1292" width="30.42578125" customWidth="1"/>
    <col min="1538" max="1538" width="24.85546875" customWidth="1"/>
    <col min="1539" max="1539" width="19.85546875" customWidth="1"/>
    <col min="1540" max="1540" width="19.28515625" customWidth="1"/>
    <col min="1541" max="1541" width="18.140625" customWidth="1"/>
    <col min="1542" max="1542" width="15.5703125" customWidth="1"/>
    <col min="1543" max="1543" width="16" customWidth="1"/>
    <col min="1544" max="1544" width="19.5703125" customWidth="1"/>
    <col min="1545" max="1545" width="16.85546875" customWidth="1"/>
    <col min="1546" max="1546" width="18.42578125" customWidth="1"/>
    <col min="1548" max="1548" width="30.42578125" customWidth="1"/>
    <col min="1794" max="1794" width="24.85546875" customWidth="1"/>
    <col min="1795" max="1795" width="19.85546875" customWidth="1"/>
    <col min="1796" max="1796" width="19.28515625" customWidth="1"/>
    <col min="1797" max="1797" width="18.140625" customWidth="1"/>
    <col min="1798" max="1798" width="15.5703125" customWidth="1"/>
    <col min="1799" max="1799" width="16" customWidth="1"/>
    <col min="1800" max="1800" width="19.5703125" customWidth="1"/>
    <col min="1801" max="1801" width="16.85546875" customWidth="1"/>
    <col min="1802" max="1802" width="18.42578125" customWidth="1"/>
    <col min="1804" max="1804" width="30.42578125" customWidth="1"/>
    <col min="2050" max="2050" width="24.85546875" customWidth="1"/>
    <col min="2051" max="2051" width="19.85546875" customWidth="1"/>
    <col min="2052" max="2052" width="19.28515625" customWidth="1"/>
    <col min="2053" max="2053" width="18.140625" customWidth="1"/>
    <col min="2054" max="2054" width="15.5703125" customWidth="1"/>
    <col min="2055" max="2055" width="16" customWidth="1"/>
    <col min="2056" max="2056" width="19.5703125" customWidth="1"/>
    <col min="2057" max="2057" width="16.85546875" customWidth="1"/>
    <col min="2058" max="2058" width="18.42578125" customWidth="1"/>
    <col min="2060" max="2060" width="30.42578125" customWidth="1"/>
    <col min="2306" max="2306" width="24.85546875" customWidth="1"/>
    <col min="2307" max="2307" width="19.85546875" customWidth="1"/>
    <col min="2308" max="2308" width="19.28515625" customWidth="1"/>
    <col min="2309" max="2309" width="18.140625" customWidth="1"/>
    <col min="2310" max="2310" width="15.5703125" customWidth="1"/>
    <col min="2311" max="2311" width="16" customWidth="1"/>
    <col min="2312" max="2312" width="19.5703125" customWidth="1"/>
    <col min="2313" max="2313" width="16.85546875" customWidth="1"/>
    <col min="2314" max="2314" width="18.42578125" customWidth="1"/>
    <col min="2316" max="2316" width="30.42578125" customWidth="1"/>
    <col min="2562" max="2562" width="24.85546875" customWidth="1"/>
    <col min="2563" max="2563" width="19.85546875" customWidth="1"/>
    <col min="2564" max="2564" width="19.28515625" customWidth="1"/>
    <col min="2565" max="2565" width="18.140625" customWidth="1"/>
    <col min="2566" max="2566" width="15.5703125" customWidth="1"/>
    <col min="2567" max="2567" width="16" customWidth="1"/>
    <col min="2568" max="2568" width="19.5703125" customWidth="1"/>
    <col min="2569" max="2569" width="16.85546875" customWidth="1"/>
    <col min="2570" max="2570" width="18.42578125" customWidth="1"/>
    <col min="2572" max="2572" width="30.42578125" customWidth="1"/>
    <col min="2818" max="2818" width="24.85546875" customWidth="1"/>
    <col min="2819" max="2819" width="19.85546875" customWidth="1"/>
    <col min="2820" max="2820" width="19.28515625" customWidth="1"/>
    <col min="2821" max="2821" width="18.140625" customWidth="1"/>
    <col min="2822" max="2822" width="15.5703125" customWidth="1"/>
    <col min="2823" max="2823" width="16" customWidth="1"/>
    <col min="2824" max="2824" width="19.5703125" customWidth="1"/>
    <col min="2825" max="2825" width="16.85546875" customWidth="1"/>
    <col min="2826" max="2826" width="18.42578125" customWidth="1"/>
    <col min="2828" max="2828" width="30.42578125" customWidth="1"/>
    <col min="3074" max="3074" width="24.85546875" customWidth="1"/>
    <col min="3075" max="3075" width="19.85546875" customWidth="1"/>
    <col min="3076" max="3076" width="19.28515625" customWidth="1"/>
    <col min="3077" max="3077" width="18.140625" customWidth="1"/>
    <col min="3078" max="3078" width="15.5703125" customWidth="1"/>
    <col min="3079" max="3079" width="16" customWidth="1"/>
    <col min="3080" max="3080" width="19.5703125" customWidth="1"/>
    <col min="3081" max="3081" width="16.85546875" customWidth="1"/>
    <col min="3082" max="3082" width="18.42578125" customWidth="1"/>
    <col min="3084" max="3084" width="30.42578125" customWidth="1"/>
    <col min="3330" max="3330" width="24.85546875" customWidth="1"/>
    <col min="3331" max="3331" width="19.85546875" customWidth="1"/>
    <col min="3332" max="3332" width="19.28515625" customWidth="1"/>
    <col min="3333" max="3333" width="18.140625" customWidth="1"/>
    <col min="3334" max="3334" width="15.5703125" customWidth="1"/>
    <col min="3335" max="3335" width="16" customWidth="1"/>
    <col min="3336" max="3336" width="19.5703125" customWidth="1"/>
    <col min="3337" max="3337" width="16.85546875" customWidth="1"/>
    <col min="3338" max="3338" width="18.42578125" customWidth="1"/>
    <col min="3340" max="3340" width="30.42578125" customWidth="1"/>
    <col min="3586" max="3586" width="24.85546875" customWidth="1"/>
    <col min="3587" max="3587" width="19.85546875" customWidth="1"/>
    <col min="3588" max="3588" width="19.28515625" customWidth="1"/>
    <col min="3589" max="3589" width="18.140625" customWidth="1"/>
    <col min="3590" max="3590" width="15.5703125" customWidth="1"/>
    <col min="3591" max="3591" width="16" customWidth="1"/>
    <col min="3592" max="3592" width="19.5703125" customWidth="1"/>
    <col min="3593" max="3593" width="16.85546875" customWidth="1"/>
    <col min="3594" max="3594" width="18.42578125" customWidth="1"/>
    <col min="3596" max="3596" width="30.42578125" customWidth="1"/>
    <col min="3842" max="3842" width="24.85546875" customWidth="1"/>
    <col min="3843" max="3843" width="19.85546875" customWidth="1"/>
    <col min="3844" max="3844" width="19.28515625" customWidth="1"/>
    <col min="3845" max="3845" width="18.140625" customWidth="1"/>
    <col min="3846" max="3846" width="15.5703125" customWidth="1"/>
    <col min="3847" max="3847" width="16" customWidth="1"/>
    <col min="3848" max="3848" width="19.5703125" customWidth="1"/>
    <col min="3849" max="3849" width="16.85546875" customWidth="1"/>
    <col min="3850" max="3850" width="18.42578125" customWidth="1"/>
    <col min="3852" max="3852" width="30.42578125" customWidth="1"/>
    <col min="4098" max="4098" width="24.85546875" customWidth="1"/>
    <col min="4099" max="4099" width="19.85546875" customWidth="1"/>
    <col min="4100" max="4100" width="19.28515625" customWidth="1"/>
    <col min="4101" max="4101" width="18.140625" customWidth="1"/>
    <col min="4102" max="4102" width="15.5703125" customWidth="1"/>
    <col min="4103" max="4103" width="16" customWidth="1"/>
    <col min="4104" max="4104" width="19.5703125" customWidth="1"/>
    <col min="4105" max="4105" width="16.85546875" customWidth="1"/>
    <col min="4106" max="4106" width="18.42578125" customWidth="1"/>
    <col min="4108" max="4108" width="30.42578125" customWidth="1"/>
    <col min="4354" max="4354" width="24.85546875" customWidth="1"/>
    <col min="4355" max="4355" width="19.85546875" customWidth="1"/>
    <col min="4356" max="4356" width="19.28515625" customWidth="1"/>
    <col min="4357" max="4357" width="18.140625" customWidth="1"/>
    <col min="4358" max="4358" width="15.5703125" customWidth="1"/>
    <col min="4359" max="4359" width="16" customWidth="1"/>
    <col min="4360" max="4360" width="19.5703125" customWidth="1"/>
    <col min="4361" max="4361" width="16.85546875" customWidth="1"/>
    <col min="4362" max="4362" width="18.42578125" customWidth="1"/>
    <col min="4364" max="4364" width="30.42578125" customWidth="1"/>
    <col min="4610" max="4610" width="24.85546875" customWidth="1"/>
    <col min="4611" max="4611" width="19.85546875" customWidth="1"/>
    <col min="4612" max="4612" width="19.28515625" customWidth="1"/>
    <col min="4613" max="4613" width="18.140625" customWidth="1"/>
    <col min="4614" max="4614" width="15.5703125" customWidth="1"/>
    <col min="4615" max="4615" width="16" customWidth="1"/>
    <col min="4616" max="4616" width="19.5703125" customWidth="1"/>
    <col min="4617" max="4617" width="16.85546875" customWidth="1"/>
    <col min="4618" max="4618" width="18.42578125" customWidth="1"/>
    <col min="4620" max="4620" width="30.42578125" customWidth="1"/>
    <col min="4866" max="4866" width="24.85546875" customWidth="1"/>
    <col min="4867" max="4867" width="19.85546875" customWidth="1"/>
    <col min="4868" max="4868" width="19.28515625" customWidth="1"/>
    <col min="4869" max="4869" width="18.140625" customWidth="1"/>
    <col min="4870" max="4870" width="15.5703125" customWidth="1"/>
    <col min="4871" max="4871" width="16" customWidth="1"/>
    <col min="4872" max="4872" width="19.5703125" customWidth="1"/>
    <col min="4873" max="4873" width="16.85546875" customWidth="1"/>
    <col min="4874" max="4874" width="18.42578125" customWidth="1"/>
    <col min="4876" max="4876" width="30.42578125" customWidth="1"/>
    <col min="5122" max="5122" width="24.85546875" customWidth="1"/>
    <col min="5123" max="5123" width="19.85546875" customWidth="1"/>
    <col min="5124" max="5124" width="19.28515625" customWidth="1"/>
    <col min="5125" max="5125" width="18.140625" customWidth="1"/>
    <col min="5126" max="5126" width="15.5703125" customWidth="1"/>
    <col min="5127" max="5127" width="16" customWidth="1"/>
    <col min="5128" max="5128" width="19.5703125" customWidth="1"/>
    <col min="5129" max="5129" width="16.85546875" customWidth="1"/>
    <col min="5130" max="5130" width="18.42578125" customWidth="1"/>
    <col min="5132" max="5132" width="30.42578125" customWidth="1"/>
    <col min="5378" max="5378" width="24.85546875" customWidth="1"/>
    <col min="5379" max="5379" width="19.85546875" customWidth="1"/>
    <col min="5380" max="5380" width="19.28515625" customWidth="1"/>
    <col min="5381" max="5381" width="18.140625" customWidth="1"/>
    <col min="5382" max="5382" width="15.5703125" customWidth="1"/>
    <col min="5383" max="5383" width="16" customWidth="1"/>
    <col min="5384" max="5384" width="19.5703125" customWidth="1"/>
    <col min="5385" max="5385" width="16.85546875" customWidth="1"/>
    <col min="5386" max="5386" width="18.42578125" customWidth="1"/>
    <col min="5388" max="5388" width="30.42578125" customWidth="1"/>
    <col min="5634" max="5634" width="24.85546875" customWidth="1"/>
    <col min="5635" max="5635" width="19.85546875" customWidth="1"/>
    <col min="5636" max="5636" width="19.28515625" customWidth="1"/>
    <col min="5637" max="5637" width="18.140625" customWidth="1"/>
    <col min="5638" max="5638" width="15.5703125" customWidth="1"/>
    <col min="5639" max="5639" width="16" customWidth="1"/>
    <col min="5640" max="5640" width="19.5703125" customWidth="1"/>
    <col min="5641" max="5641" width="16.85546875" customWidth="1"/>
    <col min="5642" max="5642" width="18.42578125" customWidth="1"/>
    <col min="5644" max="5644" width="30.42578125" customWidth="1"/>
    <col min="5890" max="5890" width="24.85546875" customWidth="1"/>
    <col min="5891" max="5891" width="19.85546875" customWidth="1"/>
    <col min="5892" max="5892" width="19.28515625" customWidth="1"/>
    <col min="5893" max="5893" width="18.140625" customWidth="1"/>
    <col min="5894" max="5894" width="15.5703125" customWidth="1"/>
    <col min="5895" max="5895" width="16" customWidth="1"/>
    <col min="5896" max="5896" width="19.5703125" customWidth="1"/>
    <col min="5897" max="5897" width="16.85546875" customWidth="1"/>
    <col min="5898" max="5898" width="18.42578125" customWidth="1"/>
    <col min="5900" max="5900" width="30.42578125" customWidth="1"/>
    <col min="6146" max="6146" width="24.85546875" customWidth="1"/>
    <col min="6147" max="6147" width="19.85546875" customWidth="1"/>
    <col min="6148" max="6148" width="19.28515625" customWidth="1"/>
    <col min="6149" max="6149" width="18.140625" customWidth="1"/>
    <col min="6150" max="6150" width="15.5703125" customWidth="1"/>
    <col min="6151" max="6151" width="16" customWidth="1"/>
    <col min="6152" max="6152" width="19.5703125" customWidth="1"/>
    <col min="6153" max="6153" width="16.85546875" customWidth="1"/>
    <col min="6154" max="6154" width="18.42578125" customWidth="1"/>
    <col min="6156" max="6156" width="30.42578125" customWidth="1"/>
    <col min="6402" max="6402" width="24.85546875" customWidth="1"/>
    <col min="6403" max="6403" width="19.85546875" customWidth="1"/>
    <col min="6404" max="6404" width="19.28515625" customWidth="1"/>
    <col min="6405" max="6405" width="18.140625" customWidth="1"/>
    <col min="6406" max="6406" width="15.5703125" customWidth="1"/>
    <col min="6407" max="6407" width="16" customWidth="1"/>
    <col min="6408" max="6408" width="19.5703125" customWidth="1"/>
    <col min="6409" max="6409" width="16.85546875" customWidth="1"/>
    <col min="6410" max="6410" width="18.42578125" customWidth="1"/>
    <col min="6412" max="6412" width="30.42578125" customWidth="1"/>
    <col min="6658" max="6658" width="24.85546875" customWidth="1"/>
    <col min="6659" max="6659" width="19.85546875" customWidth="1"/>
    <col min="6660" max="6660" width="19.28515625" customWidth="1"/>
    <col min="6661" max="6661" width="18.140625" customWidth="1"/>
    <col min="6662" max="6662" width="15.5703125" customWidth="1"/>
    <col min="6663" max="6663" width="16" customWidth="1"/>
    <col min="6664" max="6664" width="19.5703125" customWidth="1"/>
    <col min="6665" max="6665" width="16.85546875" customWidth="1"/>
    <col min="6666" max="6666" width="18.42578125" customWidth="1"/>
    <col min="6668" max="6668" width="30.42578125" customWidth="1"/>
    <col min="6914" max="6914" width="24.85546875" customWidth="1"/>
    <col min="6915" max="6915" width="19.85546875" customWidth="1"/>
    <col min="6916" max="6916" width="19.28515625" customWidth="1"/>
    <col min="6917" max="6917" width="18.140625" customWidth="1"/>
    <col min="6918" max="6918" width="15.5703125" customWidth="1"/>
    <col min="6919" max="6919" width="16" customWidth="1"/>
    <col min="6920" max="6920" width="19.5703125" customWidth="1"/>
    <col min="6921" max="6921" width="16.85546875" customWidth="1"/>
    <col min="6922" max="6922" width="18.42578125" customWidth="1"/>
    <col min="6924" max="6924" width="30.42578125" customWidth="1"/>
    <col min="7170" max="7170" width="24.85546875" customWidth="1"/>
    <col min="7171" max="7171" width="19.85546875" customWidth="1"/>
    <col min="7172" max="7172" width="19.28515625" customWidth="1"/>
    <col min="7173" max="7173" width="18.140625" customWidth="1"/>
    <col min="7174" max="7174" width="15.5703125" customWidth="1"/>
    <col min="7175" max="7175" width="16" customWidth="1"/>
    <col min="7176" max="7176" width="19.5703125" customWidth="1"/>
    <col min="7177" max="7177" width="16.85546875" customWidth="1"/>
    <col min="7178" max="7178" width="18.42578125" customWidth="1"/>
    <col min="7180" max="7180" width="30.42578125" customWidth="1"/>
    <col min="7426" max="7426" width="24.85546875" customWidth="1"/>
    <col min="7427" max="7427" width="19.85546875" customWidth="1"/>
    <col min="7428" max="7428" width="19.28515625" customWidth="1"/>
    <col min="7429" max="7429" width="18.140625" customWidth="1"/>
    <col min="7430" max="7430" width="15.5703125" customWidth="1"/>
    <col min="7431" max="7431" width="16" customWidth="1"/>
    <col min="7432" max="7432" width="19.5703125" customWidth="1"/>
    <col min="7433" max="7433" width="16.85546875" customWidth="1"/>
    <col min="7434" max="7434" width="18.42578125" customWidth="1"/>
    <col min="7436" max="7436" width="30.42578125" customWidth="1"/>
    <col min="7682" max="7682" width="24.85546875" customWidth="1"/>
    <col min="7683" max="7683" width="19.85546875" customWidth="1"/>
    <col min="7684" max="7684" width="19.28515625" customWidth="1"/>
    <col min="7685" max="7685" width="18.140625" customWidth="1"/>
    <col min="7686" max="7686" width="15.5703125" customWidth="1"/>
    <col min="7687" max="7687" width="16" customWidth="1"/>
    <col min="7688" max="7688" width="19.5703125" customWidth="1"/>
    <col min="7689" max="7689" width="16.85546875" customWidth="1"/>
    <col min="7690" max="7690" width="18.42578125" customWidth="1"/>
    <col min="7692" max="7692" width="30.42578125" customWidth="1"/>
    <col min="7938" max="7938" width="24.85546875" customWidth="1"/>
    <col min="7939" max="7939" width="19.85546875" customWidth="1"/>
    <col min="7940" max="7940" width="19.28515625" customWidth="1"/>
    <col min="7941" max="7941" width="18.140625" customWidth="1"/>
    <col min="7942" max="7942" width="15.5703125" customWidth="1"/>
    <col min="7943" max="7943" width="16" customWidth="1"/>
    <col min="7944" max="7944" width="19.5703125" customWidth="1"/>
    <col min="7945" max="7945" width="16.85546875" customWidth="1"/>
    <col min="7946" max="7946" width="18.42578125" customWidth="1"/>
    <col min="7948" max="7948" width="30.42578125" customWidth="1"/>
    <col min="8194" max="8194" width="24.85546875" customWidth="1"/>
    <col min="8195" max="8195" width="19.85546875" customWidth="1"/>
    <col min="8196" max="8196" width="19.28515625" customWidth="1"/>
    <col min="8197" max="8197" width="18.140625" customWidth="1"/>
    <col min="8198" max="8198" width="15.5703125" customWidth="1"/>
    <col min="8199" max="8199" width="16" customWidth="1"/>
    <col min="8200" max="8200" width="19.5703125" customWidth="1"/>
    <col min="8201" max="8201" width="16.85546875" customWidth="1"/>
    <col min="8202" max="8202" width="18.42578125" customWidth="1"/>
    <col min="8204" max="8204" width="30.42578125" customWidth="1"/>
    <col min="8450" max="8450" width="24.85546875" customWidth="1"/>
    <col min="8451" max="8451" width="19.85546875" customWidth="1"/>
    <col min="8452" max="8452" width="19.28515625" customWidth="1"/>
    <col min="8453" max="8453" width="18.140625" customWidth="1"/>
    <col min="8454" max="8454" width="15.5703125" customWidth="1"/>
    <col min="8455" max="8455" width="16" customWidth="1"/>
    <col min="8456" max="8456" width="19.5703125" customWidth="1"/>
    <col min="8457" max="8457" width="16.85546875" customWidth="1"/>
    <col min="8458" max="8458" width="18.42578125" customWidth="1"/>
    <col min="8460" max="8460" width="30.42578125" customWidth="1"/>
    <col min="8706" max="8706" width="24.85546875" customWidth="1"/>
    <col min="8707" max="8707" width="19.85546875" customWidth="1"/>
    <col min="8708" max="8708" width="19.28515625" customWidth="1"/>
    <col min="8709" max="8709" width="18.140625" customWidth="1"/>
    <col min="8710" max="8710" width="15.5703125" customWidth="1"/>
    <col min="8711" max="8711" width="16" customWidth="1"/>
    <col min="8712" max="8712" width="19.5703125" customWidth="1"/>
    <col min="8713" max="8713" width="16.85546875" customWidth="1"/>
    <col min="8714" max="8714" width="18.42578125" customWidth="1"/>
    <col min="8716" max="8716" width="30.42578125" customWidth="1"/>
    <col min="8962" max="8962" width="24.85546875" customWidth="1"/>
    <col min="8963" max="8963" width="19.85546875" customWidth="1"/>
    <col min="8964" max="8964" width="19.28515625" customWidth="1"/>
    <col min="8965" max="8965" width="18.140625" customWidth="1"/>
    <col min="8966" max="8966" width="15.5703125" customWidth="1"/>
    <col min="8967" max="8967" width="16" customWidth="1"/>
    <col min="8968" max="8968" width="19.5703125" customWidth="1"/>
    <col min="8969" max="8969" width="16.85546875" customWidth="1"/>
    <col min="8970" max="8970" width="18.42578125" customWidth="1"/>
    <col min="8972" max="8972" width="30.42578125" customWidth="1"/>
    <col min="9218" max="9218" width="24.85546875" customWidth="1"/>
    <col min="9219" max="9219" width="19.85546875" customWidth="1"/>
    <col min="9220" max="9220" width="19.28515625" customWidth="1"/>
    <col min="9221" max="9221" width="18.140625" customWidth="1"/>
    <col min="9222" max="9222" width="15.5703125" customWidth="1"/>
    <col min="9223" max="9223" width="16" customWidth="1"/>
    <col min="9224" max="9224" width="19.5703125" customWidth="1"/>
    <col min="9225" max="9225" width="16.85546875" customWidth="1"/>
    <col min="9226" max="9226" width="18.42578125" customWidth="1"/>
    <col min="9228" max="9228" width="30.42578125" customWidth="1"/>
    <col min="9474" max="9474" width="24.85546875" customWidth="1"/>
    <col min="9475" max="9475" width="19.85546875" customWidth="1"/>
    <col min="9476" max="9476" width="19.28515625" customWidth="1"/>
    <col min="9477" max="9477" width="18.140625" customWidth="1"/>
    <col min="9478" max="9478" width="15.5703125" customWidth="1"/>
    <col min="9479" max="9479" width="16" customWidth="1"/>
    <col min="9480" max="9480" width="19.5703125" customWidth="1"/>
    <col min="9481" max="9481" width="16.85546875" customWidth="1"/>
    <col min="9482" max="9482" width="18.42578125" customWidth="1"/>
    <col min="9484" max="9484" width="30.42578125" customWidth="1"/>
    <col min="9730" max="9730" width="24.85546875" customWidth="1"/>
    <col min="9731" max="9731" width="19.85546875" customWidth="1"/>
    <col min="9732" max="9732" width="19.28515625" customWidth="1"/>
    <col min="9733" max="9733" width="18.140625" customWidth="1"/>
    <col min="9734" max="9734" width="15.5703125" customWidth="1"/>
    <col min="9735" max="9735" width="16" customWidth="1"/>
    <col min="9736" max="9736" width="19.5703125" customWidth="1"/>
    <col min="9737" max="9737" width="16.85546875" customWidth="1"/>
    <col min="9738" max="9738" width="18.42578125" customWidth="1"/>
    <col min="9740" max="9740" width="30.42578125" customWidth="1"/>
    <col min="9986" max="9986" width="24.85546875" customWidth="1"/>
    <col min="9987" max="9987" width="19.85546875" customWidth="1"/>
    <col min="9988" max="9988" width="19.28515625" customWidth="1"/>
    <col min="9989" max="9989" width="18.140625" customWidth="1"/>
    <col min="9990" max="9990" width="15.5703125" customWidth="1"/>
    <col min="9991" max="9991" width="16" customWidth="1"/>
    <col min="9992" max="9992" width="19.5703125" customWidth="1"/>
    <col min="9993" max="9993" width="16.85546875" customWidth="1"/>
    <col min="9994" max="9994" width="18.42578125" customWidth="1"/>
    <col min="9996" max="9996" width="30.42578125" customWidth="1"/>
    <col min="10242" max="10242" width="24.85546875" customWidth="1"/>
    <col min="10243" max="10243" width="19.85546875" customWidth="1"/>
    <col min="10244" max="10244" width="19.28515625" customWidth="1"/>
    <col min="10245" max="10245" width="18.140625" customWidth="1"/>
    <col min="10246" max="10246" width="15.5703125" customWidth="1"/>
    <col min="10247" max="10247" width="16" customWidth="1"/>
    <col min="10248" max="10248" width="19.5703125" customWidth="1"/>
    <col min="10249" max="10249" width="16.85546875" customWidth="1"/>
    <col min="10250" max="10250" width="18.42578125" customWidth="1"/>
    <col min="10252" max="10252" width="30.42578125" customWidth="1"/>
    <col min="10498" max="10498" width="24.85546875" customWidth="1"/>
    <col min="10499" max="10499" width="19.85546875" customWidth="1"/>
    <col min="10500" max="10500" width="19.28515625" customWidth="1"/>
    <col min="10501" max="10501" width="18.140625" customWidth="1"/>
    <col min="10502" max="10502" width="15.5703125" customWidth="1"/>
    <col min="10503" max="10503" width="16" customWidth="1"/>
    <col min="10504" max="10504" width="19.5703125" customWidth="1"/>
    <col min="10505" max="10505" width="16.85546875" customWidth="1"/>
    <col min="10506" max="10506" width="18.42578125" customWidth="1"/>
    <col min="10508" max="10508" width="30.42578125" customWidth="1"/>
    <col min="10754" max="10754" width="24.85546875" customWidth="1"/>
    <col min="10755" max="10755" width="19.85546875" customWidth="1"/>
    <col min="10756" max="10756" width="19.28515625" customWidth="1"/>
    <col min="10757" max="10757" width="18.140625" customWidth="1"/>
    <col min="10758" max="10758" width="15.5703125" customWidth="1"/>
    <col min="10759" max="10759" width="16" customWidth="1"/>
    <col min="10760" max="10760" width="19.5703125" customWidth="1"/>
    <col min="10761" max="10761" width="16.85546875" customWidth="1"/>
    <col min="10762" max="10762" width="18.42578125" customWidth="1"/>
    <col min="10764" max="10764" width="30.42578125" customWidth="1"/>
    <col min="11010" max="11010" width="24.85546875" customWidth="1"/>
    <col min="11011" max="11011" width="19.85546875" customWidth="1"/>
    <col min="11012" max="11012" width="19.28515625" customWidth="1"/>
    <col min="11013" max="11013" width="18.140625" customWidth="1"/>
    <col min="11014" max="11014" width="15.5703125" customWidth="1"/>
    <col min="11015" max="11015" width="16" customWidth="1"/>
    <col min="11016" max="11016" width="19.5703125" customWidth="1"/>
    <col min="11017" max="11017" width="16.85546875" customWidth="1"/>
    <col min="11018" max="11018" width="18.42578125" customWidth="1"/>
    <col min="11020" max="11020" width="30.42578125" customWidth="1"/>
    <col min="11266" max="11266" width="24.85546875" customWidth="1"/>
    <col min="11267" max="11267" width="19.85546875" customWidth="1"/>
    <col min="11268" max="11268" width="19.28515625" customWidth="1"/>
    <col min="11269" max="11269" width="18.140625" customWidth="1"/>
    <col min="11270" max="11270" width="15.5703125" customWidth="1"/>
    <col min="11271" max="11271" width="16" customWidth="1"/>
    <col min="11272" max="11272" width="19.5703125" customWidth="1"/>
    <col min="11273" max="11273" width="16.85546875" customWidth="1"/>
    <col min="11274" max="11274" width="18.42578125" customWidth="1"/>
    <col min="11276" max="11276" width="30.42578125" customWidth="1"/>
    <col min="11522" max="11522" width="24.85546875" customWidth="1"/>
    <col min="11523" max="11523" width="19.85546875" customWidth="1"/>
    <col min="11524" max="11524" width="19.28515625" customWidth="1"/>
    <col min="11525" max="11525" width="18.140625" customWidth="1"/>
    <col min="11526" max="11526" width="15.5703125" customWidth="1"/>
    <col min="11527" max="11527" width="16" customWidth="1"/>
    <col min="11528" max="11528" width="19.5703125" customWidth="1"/>
    <col min="11529" max="11529" width="16.85546875" customWidth="1"/>
    <col min="11530" max="11530" width="18.42578125" customWidth="1"/>
    <col min="11532" max="11532" width="30.42578125" customWidth="1"/>
    <col min="11778" max="11778" width="24.85546875" customWidth="1"/>
    <col min="11779" max="11779" width="19.85546875" customWidth="1"/>
    <col min="11780" max="11780" width="19.28515625" customWidth="1"/>
    <col min="11781" max="11781" width="18.140625" customWidth="1"/>
    <col min="11782" max="11782" width="15.5703125" customWidth="1"/>
    <col min="11783" max="11783" width="16" customWidth="1"/>
    <col min="11784" max="11784" width="19.5703125" customWidth="1"/>
    <col min="11785" max="11785" width="16.85546875" customWidth="1"/>
    <col min="11786" max="11786" width="18.42578125" customWidth="1"/>
    <col min="11788" max="11788" width="30.42578125" customWidth="1"/>
    <col min="12034" max="12034" width="24.85546875" customWidth="1"/>
    <col min="12035" max="12035" width="19.85546875" customWidth="1"/>
    <col min="12036" max="12036" width="19.28515625" customWidth="1"/>
    <col min="12037" max="12037" width="18.140625" customWidth="1"/>
    <col min="12038" max="12038" width="15.5703125" customWidth="1"/>
    <col min="12039" max="12039" width="16" customWidth="1"/>
    <col min="12040" max="12040" width="19.5703125" customWidth="1"/>
    <col min="12041" max="12041" width="16.85546875" customWidth="1"/>
    <col min="12042" max="12042" width="18.42578125" customWidth="1"/>
    <col min="12044" max="12044" width="30.42578125" customWidth="1"/>
    <col min="12290" max="12290" width="24.85546875" customWidth="1"/>
    <col min="12291" max="12291" width="19.85546875" customWidth="1"/>
    <col min="12292" max="12292" width="19.28515625" customWidth="1"/>
    <col min="12293" max="12293" width="18.140625" customWidth="1"/>
    <col min="12294" max="12294" width="15.5703125" customWidth="1"/>
    <col min="12295" max="12295" width="16" customWidth="1"/>
    <col min="12296" max="12296" width="19.5703125" customWidth="1"/>
    <col min="12297" max="12297" width="16.85546875" customWidth="1"/>
    <col min="12298" max="12298" width="18.42578125" customWidth="1"/>
    <col min="12300" max="12300" width="30.42578125" customWidth="1"/>
    <col min="12546" max="12546" width="24.85546875" customWidth="1"/>
    <col min="12547" max="12547" width="19.85546875" customWidth="1"/>
    <col min="12548" max="12548" width="19.28515625" customWidth="1"/>
    <col min="12549" max="12549" width="18.140625" customWidth="1"/>
    <col min="12550" max="12550" width="15.5703125" customWidth="1"/>
    <col min="12551" max="12551" width="16" customWidth="1"/>
    <col min="12552" max="12552" width="19.5703125" customWidth="1"/>
    <col min="12553" max="12553" width="16.85546875" customWidth="1"/>
    <col min="12554" max="12554" width="18.42578125" customWidth="1"/>
    <col min="12556" max="12556" width="30.42578125" customWidth="1"/>
    <col min="12802" max="12802" width="24.85546875" customWidth="1"/>
    <col min="12803" max="12803" width="19.85546875" customWidth="1"/>
    <col min="12804" max="12804" width="19.28515625" customWidth="1"/>
    <col min="12805" max="12805" width="18.140625" customWidth="1"/>
    <col min="12806" max="12806" width="15.5703125" customWidth="1"/>
    <col min="12807" max="12807" width="16" customWidth="1"/>
    <col min="12808" max="12808" width="19.5703125" customWidth="1"/>
    <col min="12809" max="12809" width="16.85546875" customWidth="1"/>
    <col min="12810" max="12810" width="18.42578125" customWidth="1"/>
    <col min="12812" max="12812" width="30.42578125" customWidth="1"/>
    <col min="13058" max="13058" width="24.85546875" customWidth="1"/>
    <col min="13059" max="13059" width="19.85546875" customWidth="1"/>
    <col min="13060" max="13060" width="19.28515625" customWidth="1"/>
    <col min="13061" max="13061" width="18.140625" customWidth="1"/>
    <col min="13062" max="13062" width="15.5703125" customWidth="1"/>
    <col min="13063" max="13063" width="16" customWidth="1"/>
    <col min="13064" max="13064" width="19.5703125" customWidth="1"/>
    <col min="13065" max="13065" width="16.85546875" customWidth="1"/>
    <col min="13066" max="13066" width="18.42578125" customWidth="1"/>
    <col min="13068" max="13068" width="30.42578125" customWidth="1"/>
    <col min="13314" max="13314" width="24.85546875" customWidth="1"/>
    <col min="13315" max="13315" width="19.85546875" customWidth="1"/>
    <col min="13316" max="13316" width="19.28515625" customWidth="1"/>
    <col min="13317" max="13317" width="18.140625" customWidth="1"/>
    <col min="13318" max="13318" width="15.5703125" customWidth="1"/>
    <col min="13319" max="13319" width="16" customWidth="1"/>
    <col min="13320" max="13320" width="19.5703125" customWidth="1"/>
    <col min="13321" max="13321" width="16.85546875" customWidth="1"/>
    <col min="13322" max="13322" width="18.42578125" customWidth="1"/>
    <col min="13324" max="13324" width="30.42578125" customWidth="1"/>
    <col min="13570" max="13570" width="24.85546875" customWidth="1"/>
    <col min="13571" max="13571" width="19.85546875" customWidth="1"/>
    <col min="13572" max="13572" width="19.28515625" customWidth="1"/>
    <col min="13573" max="13573" width="18.140625" customWidth="1"/>
    <col min="13574" max="13574" width="15.5703125" customWidth="1"/>
    <col min="13575" max="13575" width="16" customWidth="1"/>
    <col min="13576" max="13576" width="19.5703125" customWidth="1"/>
    <col min="13577" max="13577" width="16.85546875" customWidth="1"/>
    <col min="13578" max="13578" width="18.42578125" customWidth="1"/>
    <col min="13580" max="13580" width="30.42578125" customWidth="1"/>
    <col min="13826" max="13826" width="24.85546875" customWidth="1"/>
    <col min="13827" max="13827" width="19.85546875" customWidth="1"/>
    <col min="13828" max="13828" width="19.28515625" customWidth="1"/>
    <col min="13829" max="13829" width="18.140625" customWidth="1"/>
    <col min="13830" max="13830" width="15.5703125" customWidth="1"/>
    <col min="13831" max="13831" width="16" customWidth="1"/>
    <col min="13832" max="13832" width="19.5703125" customWidth="1"/>
    <col min="13833" max="13833" width="16.85546875" customWidth="1"/>
    <col min="13834" max="13834" width="18.42578125" customWidth="1"/>
    <col min="13836" max="13836" width="30.42578125" customWidth="1"/>
    <col min="14082" max="14082" width="24.85546875" customWidth="1"/>
    <col min="14083" max="14083" width="19.85546875" customWidth="1"/>
    <col min="14084" max="14084" width="19.28515625" customWidth="1"/>
    <col min="14085" max="14085" width="18.140625" customWidth="1"/>
    <col min="14086" max="14086" width="15.5703125" customWidth="1"/>
    <col min="14087" max="14087" width="16" customWidth="1"/>
    <col min="14088" max="14088" width="19.5703125" customWidth="1"/>
    <col min="14089" max="14089" width="16.85546875" customWidth="1"/>
    <col min="14090" max="14090" width="18.42578125" customWidth="1"/>
    <col min="14092" max="14092" width="30.42578125" customWidth="1"/>
    <col min="14338" max="14338" width="24.85546875" customWidth="1"/>
    <col min="14339" max="14339" width="19.85546875" customWidth="1"/>
    <col min="14340" max="14340" width="19.28515625" customWidth="1"/>
    <col min="14341" max="14341" width="18.140625" customWidth="1"/>
    <col min="14342" max="14342" width="15.5703125" customWidth="1"/>
    <col min="14343" max="14343" width="16" customWidth="1"/>
    <col min="14344" max="14344" width="19.5703125" customWidth="1"/>
    <col min="14345" max="14345" width="16.85546875" customWidth="1"/>
    <col min="14346" max="14346" width="18.42578125" customWidth="1"/>
    <col min="14348" max="14348" width="30.42578125" customWidth="1"/>
    <col min="14594" max="14594" width="24.85546875" customWidth="1"/>
    <col min="14595" max="14595" width="19.85546875" customWidth="1"/>
    <col min="14596" max="14596" width="19.28515625" customWidth="1"/>
    <col min="14597" max="14597" width="18.140625" customWidth="1"/>
    <col min="14598" max="14598" width="15.5703125" customWidth="1"/>
    <col min="14599" max="14599" width="16" customWidth="1"/>
    <col min="14600" max="14600" width="19.5703125" customWidth="1"/>
    <col min="14601" max="14601" width="16.85546875" customWidth="1"/>
    <col min="14602" max="14602" width="18.42578125" customWidth="1"/>
    <col min="14604" max="14604" width="30.42578125" customWidth="1"/>
    <col min="14850" max="14850" width="24.85546875" customWidth="1"/>
    <col min="14851" max="14851" width="19.85546875" customWidth="1"/>
    <col min="14852" max="14852" width="19.28515625" customWidth="1"/>
    <col min="14853" max="14853" width="18.140625" customWidth="1"/>
    <col min="14854" max="14854" width="15.5703125" customWidth="1"/>
    <col min="14855" max="14855" width="16" customWidth="1"/>
    <col min="14856" max="14856" width="19.5703125" customWidth="1"/>
    <col min="14857" max="14857" width="16.85546875" customWidth="1"/>
    <col min="14858" max="14858" width="18.42578125" customWidth="1"/>
    <col min="14860" max="14860" width="30.42578125" customWidth="1"/>
    <col min="15106" max="15106" width="24.85546875" customWidth="1"/>
    <col min="15107" max="15107" width="19.85546875" customWidth="1"/>
    <col min="15108" max="15108" width="19.28515625" customWidth="1"/>
    <col min="15109" max="15109" width="18.140625" customWidth="1"/>
    <col min="15110" max="15110" width="15.5703125" customWidth="1"/>
    <col min="15111" max="15111" width="16" customWidth="1"/>
    <col min="15112" max="15112" width="19.5703125" customWidth="1"/>
    <col min="15113" max="15113" width="16.85546875" customWidth="1"/>
    <col min="15114" max="15114" width="18.42578125" customWidth="1"/>
    <col min="15116" max="15116" width="30.42578125" customWidth="1"/>
    <col min="15362" max="15362" width="24.85546875" customWidth="1"/>
    <col min="15363" max="15363" width="19.85546875" customWidth="1"/>
    <col min="15364" max="15364" width="19.28515625" customWidth="1"/>
    <col min="15365" max="15365" width="18.140625" customWidth="1"/>
    <col min="15366" max="15366" width="15.5703125" customWidth="1"/>
    <col min="15367" max="15367" width="16" customWidth="1"/>
    <col min="15368" max="15368" width="19.5703125" customWidth="1"/>
    <col min="15369" max="15369" width="16.85546875" customWidth="1"/>
    <col min="15370" max="15370" width="18.42578125" customWidth="1"/>
    <col min="15372" max="15372" width="30.42578125" customWidth="1"/>
    <col min="15618" max="15618" width="24.85546875" customWidth="1"/>
    <col min="15619" max="15619" width="19.85546875" customWidth="1"/>
    <col min="15620" max="15620" width="19.28515625" customWidth="1"/>
    <col min="15621" max="15621" width="18.140625" customWidth="1"/>
    <col min="15622" max="15622" width="15.5703125" customWidth="1"/>
    <col min="15623" max="15623" width="16" customWidth="1"/>
    <col min="15624" max="15624" width="19.5703125" customWidth="1"/>
    <col min="15625" max="15625" width="16.85546875" customWidth="1"/>
    <col min="15626" max="15626" width="18.42578125" customWidth="1"/>
    <col min="15628" max="15628" width="30.42578125" customWidth="1"/>
    <col min="15874" max="15874" width="24.85546875" customWidth="1"/>
    <col min="15875" max="15875" width="19.85546875" customWidth="1"/>
    <col min="15876" max="15876" width="19.28515625" customWidth="1"/>
    <col min="15877" max="15877" width="18.140625" customWidth="1"/>
    <col min="15878" max="15878" width="15.5703125" customWidth="1"/>
    <col min="15879" max="15879" width="16" customWidth="1"/>
    <col min="15880" max="15880" width="19.5703125" customWidth="1"/>
    <col min="15881" max="15881" width="16.85546875" customWidth="1"/>
    <col min="15882" max="15882" width="18.42578125" customWidth="1"/>
    <col min="15884" max="15884" width="30.42578125" customWidth="1"/>
    <col min="16130" max="16130" width="24.85546875" customWidth="1"/>
    <col min="16131" max="16131" width="19.85546875" customWidth="1"/>
    <col min="16132" max="16132" width="19.28515625" customWidth="1"/>
    <col min="16133" max="16133" width="18.140625" customWidth="1"/>
    <col min="16134" max="16134" width="15.5703125" customWidth="1"/>
    <col min="16135" max="16135" width="16" customWidth="1"/>
    <col min="16136" max="16136" width="19.5703125" customWidth="1"/>
    <col min="16137" max="16137" width="16.85546875" customWidth="1"/>
    <col min="16138" max="16138" width="18.42578125" customWidth="1"/>
    <col min="16140" max="16140" width="30.42578125" customWidth="1"/>
  </cols>
  <sheetData>
    <row r="1" spans="1:17" ht="15.75" x14ac:dyDescent="0.25">
      <c r="A1" s="1420" t="s">
        <v>0</v>
      </c>
      <c r="B1" s="1420"/>
      <c r="C1" s="1420"/>
      <c r="D1" s="1420"/>
      <c r="E1" s="1420"/>
      <c r="F1" s="1420"/>
      <c r="G1" s="1420"/>
      <c r="H1" s="1420"/>
      <c r="I1" s="1420"/>
      <c r="J1" s="1420"/>
      <c r="K1" s="1"/>
      <c r="L1" s="1"/>
      <c r="M1" s="1"/>
      <c r="N1" s="1"/>
      <c r="O1" s="1"/>
      <c r="P1" s="1"/>
      <c r="Q1" s="1"/>
    </row>
    <row r="2" spans="1:17" ht="15.75" x14ac:dyDescent="0.25">
      <c r="A2" s="1420" t="s">
        <v>1</v>
      </c>
      <c r="B2" s="1420"/>
      <c r="C2" s="1420"/>
      <c r="D2" s="1420"/>
      <c r="E2" s="1420"/>
      <c r="F2" s="1420"/>
      <c r="G2" s="1420"/>
      <c r="H2" s="1420"/>
      <c r="I2" s="1420"/>
      <c r="J2" s="1420"/>
      <c r="K2" s="1"/>
      <c r="L2" s="1"/>
      <c r="M2" s="1"/>
      <c r="N2" s="1"/>
      <c r="O2" s="1"/>
      <c r="P2" s="1"/>
      <c r="Q2" s="1"/>
    </row>
    <row r="3" spans="1:17" x14ac:dyDescent="0.25">
      <c r="A3" s="2"/>
      <c r="B3" s="2"/>
      <c r="C3" s="2"/>
      <c r="D3" s="350"/>
      <c r="E3" s="2"/>
      <c r="F3" s="3"/>
      <c r="G3" s="4"/>
      <c r="H3" s="351"/>
      <c r="I3" s="2"/>
      <c r="J3" s="2"/>
    </row>
    <row r="4" spans="1:17" x14ac:dyDescent="0.25">
      <c r="A4" s="6"/>
      <c r="B4" s="6"/>
      <c r="C4" s="6"/>
      <c r="D4" s="352"/>
      <c r="E4" s="6"/>
      <c r="F4" s="7"/>
      <c r="G4" s="8"/>
      <c r="H4" s="353"/>
      <c r="I4" s="6"/>
      <c r="J4" s="6"/>
    </row>
    <row r="5" spans="1:17" ht="19.5" customHeight="1" x14ac:dyDescent="0.25">
      <c r="A5" s="1421" t="s">
        <v>2</v>
      </c>
      <c r="B5" s="1421"/>
      <c r="C5" s="1422" t="s">
        <v>3</v>
      </c>
      <c r="D5" s="1422" t="s">
        <v>4</v>
      </c>
      <c r="E5" s="316"/>
      <c r="F5" s="1425" t="s">
        <v>5</v>
      </c>
      <c r="G5" s="1426"/>
      <c r="H5" s="1427" t="s">
        <v>6</v>
      </c>
      <c r="I5" s="1421" t="s">
        <v>7</v>
      </c>
      <c r="J5" s="1421" t="s">
        <v>8</v>
      </c>
    </row>
    <row r="6" spans="1:17" ht="47.25" customHeight="1" x14ac:dyDescent="0.25">
      <c r="A6" s="1421"/>
      <c r="B6" s="1421"/>
      <c r="C6" s="1423"/>
      <c r="D6" s="1424"/>
      <c r="E6" s="317" t="s">
        <v>9</v>
      </c>
      <c r="F6" s="12" t="s">
        <v>10</v>
      </c>
      <c r="G6" s="317" t="s">
        <v>11</v>
      </c>
      <c r="H6" s="1428"/>
      <c r="I6" s="1421"/>
      <c r="J6" s="1421"/>
    </row>
    <row r="7" spans="1:17" ht="18" customHeight="1" x14ac:dyDescent="0.25">
      <c r="A7" s="1419" t="s">
        <v>12</v>
      </c>
      <c r="B7" s="1419"/>
      <c r="C7" s="13" t="s">
        <v>13</v>
      </c>
      <c r="D7" s="13" t="s">
        <v>14</v>
      </c>
      <c r="E7" s="13" t="s">
        <v>15</v>
      </c>
      <c r="F7" s="14">
        <v>5</v>
      </c>
      <c r="G7" s="315" t="s">
        <v>16</v>
      </c>
      <c r="H7" s="354" t="s">
        <v>17</v>
      </c>
      <c r="I7" s="315" t="s">
        <v>18</v>
      </c>
      <c r="J7" s="315" t="s">
        <v>19</v>
      </c>
    </row>
    <row r="8" spans="1:17" s="18" customFormat="1" ht="25.5" customHeight="1" x14ac:dyDescent="0.25">
      <c r="A8" s="16" t="s">
        <v>20</v>
      </c>
      <c r="B8" s="1397" t="s">
        <v>21</v>
      </c>
      <c r="C8" s="1398"/>
      <c r="D8" s="1398"/>
      <c r="E8" s="1398"/>
      <c r="F8" s="1398"/>
      <c r="G8" s="1398"/>
      <c r="H8" s="1398"/>
      <c r="I8" s="1398"/>
      <c r="J8" s="1398"/>
      <c r="K8" s="17"/>
    </row>
    <row r="9" spans="1:17" s="18" customFormat="1" ht="63" customHeight="1" x14ac:dyDescent="0.25">
      <c r="A9" s="19" t="s">
        <v>22</v>
      </c>
      <c r="B9" s="20" t="s">
        <v>23</v>
      </c>
      <c r="C9" s="21" t="s">
        <v>24</v>
      </c>
      <c r="D9" s="143" t="s">
        <v>25</v>
      </c>
      <c r="E9" s="23" t="s">
        <v>26</v>
      </c>
      <c r="F9" s="339"/>
      <c r="G9" s="339"/>
      <c r="H9" s="22"/>
      <c r="I9" s="319" t="s">
        <v>1839</v>
      </c>
      <c r="J9" s="25" t="s">
        <v>27</v>
      </c>
    </row>
    <row r="10" spans="1:17" ht="78" customHeight="1" x14ac:dyDescent="0.25">
      <c r="A10" s="19"/>
      <c r="B10" s="19"/>
      <c r="C10" s="21" t="s">
        <v>28</v>
      </c>
      <c r="D10" s="337" t="s">
        <v>29</v>
      </c>
      <c r="E10" s="23" t="s">
        <v>30</v>
      </c>
      <c r="F10" s="339"/>
      <c r="G10" s="339"/>
      <c r="H10" s="22"/>
      <c r="I10" s="319" t="s">
        <v>1839</v>
      </c>
      <c r="J10" s="25" t="s">
        <v>27</v>
      </c>
      <c r="L10" s="35"/>
    </row>
    <row r="11" spans="1:17" ht="78" customHeight="1" x14ac:dyDescent="0.25">
      <c r="A11" s="19"/>
      <c r="B11" s="19"/>
      <c r="C11" s="26"/>
      <c r="D11" s="143" t="s">
        <v>31</v>
      </c>
      <c r="E11" s="23" t="s">
        <v>32</v>
      </c>
      <c r="F11" s="339"/>
      <c r="G11" s="339"/>
      <c r="H11" s="22"/>
      <c r="I11" s="319" t="s">
        <v>1839</v>
      </c>
      <c r="J11" s="25" t="s">
        <v>27</v>
      </c>
      <c r="L11" s="35"/>
    </row>
    <row r="12" spans="1:17" ht="51" customHeight="1" x14ac:dyDescent="0.25">
      <c r="A12" s="19"/>
      <c r="B12" s="19"/>
      <c r="C12" s="26"/>
      <c r="D12" s="181"/>
      <c r="E12" s="329" t="s">
        <v>33</v>
      </c>
      <c r="F12" s="339"/>
      <c r="G12" s="339"/>
      <c r="H12" s="22"/>
      <c r="I12" s="319" t="s">
        <v>106</v>
      </c>
      <c r="J12" s="25" t="s">
        <v>27</v>
      </c>
      <c r="L12" s="35"/>
    </row>
    <row r="13" spans="1:17" ht="54" customHeight="1" x14ac:dyDescent="0.25">
      <c r="A13" s="19"/>
      <c r="B13" s="19"/>
      <c r="C13" s="26"/>
      <c r="D13" s="181"/>
      <c r="E13" s="21" t="s">
        <v>34</v>
      </c>
      <c r="F13" s="31" t="s">
        <v>35</v>
      </c>
      <c r="G13" s="319" t="s">
        <v>36</v>
      </c>
      <c r="H13" s="1335" t="s">
        <v>37</v>
      </c>
      <c r="I13" s="326" t="s">
        <v>1840</v>
      </c>
      <c r="J13" s="332" t="s">
        <v>39</v>
      </c>
      <c r="L13" s="35"/>
    </row>
    <row r="14" spans="1:17" ht="53.25" customHeight="1" x14ac:dyDescent="0.25">
      <c r="A14" s="19"/>
      <c r="B14" s="19"/>
      <c r="C14" s="26"/>
      <c r="D14" s="181"/>
      <c r="E14" s="21" t="s">
        <v>40</v>
      </c>
      <c r="F14" s="34">
        <v>0.98</v>
      </c>
      <c r="G14" s="34">
        <v>1</v>
      </c>
      <c r="H14" s="1336"/>
      <c r="I14" s="326" t="s">
        <v>1840</v>
      </c>
      <c r="J14" s="332" t="s">
        <v>39</v>
      </c>
      <c r="L14" s="35"/>
    </row>
    <row r="15" spans="1:17" ht="92.25" customHeight="1" x14ac:dyDescent="0.25">
      <c r="A15" s="19"/>
      <c r="B15" s="19"/>
      <c r="C15" s="26"/>
      <c r="D15" s="181"/>
      <c r="E15" s="23" t="s">
        <v>41</v>
      </c>
      <c r="F15" s="339"/>
      <c r="G15" s="339"/>
      <c r="H15" s="22"/>
      <c r="I15" s="319" t="s">
        <v>106</v>
      </c>
      <c r="J15" s="25" t="s">
        <v>27</v>
      </c>
      <c r="L15" s="35"/>
    </row>
    <row r="16" spans="1:17" ht="180.75" customHeight="1" x14ac:dyDescent="0.25">
      <c r="A16" s="19"/>
      <c r="B16" s="20"/>
      <c r="C16" s="22" t="s">
        <v>28</v>
      </c>
      <c r="D16" s="143" t="s">
        <v>31</v>
      </c>
      <c r="E16" s="23" t="s">
        <v>42</v>
      </c>
      <c r="F16" s="339"/>
      <c r="G16" s="339"/>
      <c r="H16" s="22"/>
      <c r="I16" s="319" t="s">
        <v>106</v>
      </c>
      <c r="J16" s="25" t="s">
        <v>27</v>
      </c>
      <c r="L16" s="35"/>
    </row>
    <row r="17" spans="1:12" ht="75.75" customHeight="1" x14ac:dyDescent="0.25">
      <c r="A17" s="19"/>
      <c r="B17" s="19"/>
      <c r="C17" s="29"/>
      <c r="D17" s="181"/>
      <c r="E17" s="23" t="s">
        <v>43</v>
      </c>
      <c r="F17" s="339"/>
      <c r="G17" s="339"/>
      <c r="H17" s="22"/>
      <c r="I17" s="319" t="s">
        <v>106</v>
      </c>
      <c r="J17" s="25" t="s">
        <v>27</v>
      </c>
      <c r="L17" s="35"/>
    </row>
    <row r="18" spans="1:12" ht="54" customHeight="1" x14ac:dyDescent="0.25">
      <c r="A18" s="19"/>
      <c r="B18" s="19"/>
      <c r="C18" s="29"/>
      <c r="D18" s="181"/>
      <c r="E18" s="23" t="s">
        <v>44</v>
      </c>
      <c r="F18" s="339"/>
      <c r="G18" s="339"/>
      <c r="H18" s="22"/>
      <c r="I18" s="319" t="s">
        <v>106</v>
      </c>
      <c r="J18" s="25" t="s">
        <v>27</v>
      </c>
      <c r="L18" s="35"/>
    </row>
    <row r="19" spans="1:12" ht="64.5" customHeight="1" x14ac:dyDescent="0.25">
      <c r="A19" s="19"/>
      <c r="B19" s="19"/>
      <c r="C19" s="21" t="s">
        <v>45</v>
      </c>
      <c r="D19" s="337" t="s">
        <v>46</v>
      </c>
      <c r="E19" s="23" t="s">
        <v>47</v>
      </c>
      <c r="F19" s="339"/>
      <c r="G19" s="339"/>
      <c r="H19" s="22"/>
      <c r="I19" s="319" t="s">
        <v>106</v>
      </c>
      <c r="J19" s="25" t="s">
        <v>27</v>
      </c>
      <c r="L19" s="35"/>
    </row>
    <row r="20" spans="1:12" ht="78" customHeight="1" x14ac:dyDescent="0.25">
      <c r="A20" s="19"/>
      <c r="B20" s="19"/>
      <c r="C20" s="21" t="s">
        <v>48</v>
      </c>
      <c r="D20" s="337" t="s">
        <v>49</v>
      </c>
      <c r="E20" s="23" t="s">
        <v>50</v>
      </c>
      <c r="F20" s="339"/>
      <c r="G20" s="339"/>
      <c r="H20" s="22"/>
      <c r="I20" s="319" t="s">
        <v>106</v>
      </c>
      <c r="J20" s="25" t="s">
        <v>27</v>
      </c>
      <c r="L20" s="35"/>
    </row>
    <row r="21" spans="1:12" ht="75.75" customHeight="1" x14ac:dyDescent="0.25">
      <c r="A21" s="19"/>
      <c r="B21" s="19"/>
      <c r="C21" s="36"/>
      <c r="D21" s="290" t="s">
        <v>51</v>
      </c>
      <c r="E21" s="23" t="s">
        <v>52</v>
      </c>
      <c r="F21" s="37">
        <v>0.1</v>
      </c>
      <c r="G21" s="38">
        <v>0.8448</v>
      </c>
      <c r="H21" s="23" t="s">
        <v>53</v>
      </c>
      <c r="I21" s="319" t="s">
        <v>54</v>
      </c>
      <c r="J21" s="25" t="s">
        <v>55</v>
      </c>
      <c r="L21" s="35"/>
    </row>
    <row r="22" spans="1:12" ht="87" customHeight="1" x14ac:dyDescent="0.25">
      <c r="A22" s="19"/>
      <c r="B22" s="19"/>
      <c r="C22" s="21" t="s">
        <v>48</v>
      </c>
      <c r="D22" s="143" t="s">
        <v>51</v>
      </c>
      <c r="E22" s="23" t="s">
        <v>56</v>
      </c>
      <c r="F22" s="339"/>
      <c r="G22" s="339"/>
      <c r="H22" s="22"/>
      <c r="I22" s="319" t="s">
        <v>106</v>
      </c>
      <c r="J22" s="25" t="s">
        <v>27</v>
      </c>
      <c r="L22" s="259"/>
    </row>
    <row r="23" spans="1:12" ht="68.25" customHeight="1" x14ac:dyDescent="0.25">
      <c r="A23" s="19"/>
      <c r="B23" s="19"/>
      <c r="C23" s="26"/>
      <c r="D23" s="181"/>
      <c r="E23" s="23" t="s">
        <v>57</v>
      </c>
      <c r="F23" s="339"/>
      <c r="G23" s="339"/>
      <c r="H23" s="22"/>
      <c r="I23" s="319" t="s">
        <v>106</v>
      </c>
      <c r="J23" s="25" t="s">
        <v>27</v>
      </c>
      <c r="L23" s="259"/>
    </row>
    <row r="24" spans="1:12" ht="74.25" customHeight="1" x14ac:dyDescent="0.25">
      <c r="A24" s="19"/>
      <c r="B24" s="19"/>
      <c r="C24" s="26"/>
      <c r="D24" s="181"/>
      <c r="E24" s="335" t="s">
        <v>58</v>
      </c>
      <c r="F24" s="319" t="s">
        <v>59</v>
      </c>
      <c r="G24" s="319" t="s">
        <v>60</v>
      </c>
      <c r="H24" s="22" t="s">
        <v>53</v>
      </c>
      <c r="I24" s="319" t="s">
        <v>54</v>
      </c>
      <c r="J24" s="322" t="s">
        <v>61</v>
      </c>
      <c r="L24" s="259"/>
    </row>
    <row r="25" spans="1:12" ht="69.75" customHeight="1" x14ac:dyDescent="0.25">
      <c r="A25" s="19"/>
      <c r="B25" s="19"/>
      <c r="C25" s="26"/>
      <c r="D25" s="181"/>
      <c r="E25" s="335" t="s">
        <v>62</v>
      </c>
      <c r="F25" s="319" t="s">
        <v>63</v>
      </c>
      <c r="G25" s="319" t="s">
        <v>64</v>
      </c>
      <c r="H25" s="22"/>
      <c r="I25" s="319" t="s">
        <v>106</v>
      </c>
      <c r="J25" s="322" t="s">
        <v>61</v>
      </c>
    </row>
    <row r="26" spans="1:12" ht="51" customHeight="1" x14ac:dyDescent="0.25">
      <c r="A26" s="19"/>
      <c r="B26" s="19"/>
      <c r="C26" s="26"/>
      <c r="D26" s="181"/>
      <c r="E26" s="335" t="s">
        <v>65</v>
      </c>
      <c r="F26" s="319" t="s">
        <v>66</v>
      </c>
      <c r="G26" s="319" t="s">
        <v>67</v>
      </c>
      <c r="H26" s="22"/>
      <c r="I26" s="319" t="s">
        <v>54</v>
      </c>
      <c r="J26" s="322" t="s">
        <v>61</v>
      </c>
    </row>
    <row r="27" spans="1:12" s="43" customFormat="1" ht="150" customHeight="1" x14ac:dyDescent="0.25">
      <c r="A27" s="40"/>
      <c r="B27" s="40"/>
      <c r="C27" s="40"/>
      <c r="D27" s="355"/>
      <c r="E27" s="41" t="s">
        <v>68</v>
      </c>
      <c r="F27" s="42"/>
      <c r="G27" s="42"/>
      <c r="H27" s="356"/>
      <c r="I27" s="319" t="s">
        <v>106</v>
      </c>
      <c r="J27" s="25" t="s">
        <v>27</v>
      </c>
    </row>
    <row r="28" spans="1:12" ht="57.75" customHeight="1" x14ac:dyDescent="0.25">
      <c r="A28" s="19"/>
      <c r="B28" s="19"/>
      <c r="C28" s="26"/>
      <c r="D28" s="181"/>
      <c r="E28" s="23" t="s">
        <v>69</v>
      </c>
      <c r="F28" s="339"/>
      <c r="G28" s="339"/>
      <c r="H28" s="22"/>
      <c r="I28" s="319" t="s">
        <v>106</v>
      </c>
      <c r="J28" s="25" t="s">
        <v>27</v>
      </c>
    </row>
    <row r="29" spans="1:12" ht="65.25" customHeight="1" x14ac:dyDescent="0.25">
      <c r="A29" s="19"/>
      <c r="B29" s="19"/>
      <c r="C29" s="26"/>
      <c r="D29" s="181"/>
      <c r="E29" s="23" t="s">
        <v>70</v>
      </c>
      <c r="F29" s="339"/>
      <c r="G29" s="339"/>
      <c r="H29" s="22"/>
      <c r="I29" s="319" t="s">
        <v>106</v>
      </c>
      <c r="J29" s="25" t="s">
        <v>27</v>
      </c>
    </row>
    <row r="30" spans="1:12" ht="81" customHeight="1" x14ac:dyDescent="0.25">
      <c r="A30" s="44" t="s">
        <v>71</v>
      </c>
      <c r="B30" s="45" t="s">
        <v>72</v>
      </c>
      <c r="C30" s="21" t="s">
        <v>73</v>
      </c>
      <c r="D30" s="337" t="s">
        <v>74</v>
      </c>
      <c r="E30" s="23" t="s">
        <v>75</v>
      </c>
      <c r="F30" s="37">
        <v>0.43</v>
      </c>
      <c r="G30" s="37">
        <v>1</v>
      </c>
      <c r="H30" s="22" t="s">
        <v>76</v>
      </c>
      <c r="I30" s="319" t="s">
        <v>54</v>
      </c>
      <c r="J30" s="319" t="s">
        <v>55</v>
      </c>
    </row>
    <row r="31" spans="1:12" ht="68.25" customHeight="1" x14ac:dyDescent="0.25">
      <c r="A31" s="44"/>
      <c r="B31" s="45"/>
      <c r="C31" s="46"/>
      <c r="D31" s="342"/>
      <c r="E31" s="23"/>
      <c r="F31" s="37"/>
      <c r="G31" s="37"/>
      <c r="H31" s="22" t="s">
        <v>77</v>
      </c>
      <c r="I31" s="319" t="s">
        <v>54</v>
      </c>
      <c r="J31" s="319" t="s">
        <v>55</v>
      </c>
    </row>
    <row r="32" spans="1:12" ht="103.5" customHeight="1" x14ac:dyDescent="0.25">
      <c r="A32" s="19"/>
      <c r="B32" s="19"/>
      <c r="C32" s="48"/>
      <c r="D32" s="357"/>
      <c r="E32" s="23" t="s">
        <v>78</v>
      </c>
      <c r="F32" s="37">
        <v>0.2</v>
      </c>
      <c r="G32" s="37">
        <v>1</v>
      </c>
      <c r="H32" s="22" t="s">
        <v>79</v>
      </c>
      <c r="I32" s="319" t="s">
        <v>54</v>
      </c>
      <c r="J32" s="319" t="s">
        <v>55</v>
      </c>
    </row>
    <row r="33" spans="1:12" ht="63" customHeight="1" x14ac:dyDescent="0.25">
      <c r="A33" s="19"/>
      <c r="B33" s="19"/>
      <c r="C33" s="48"/>
      <c r="D33" s="357"/>
      <c r="E33" s="23"/>
      <c r="F33" s="37"/>
      <c r="G33" s="37"/>
      <c r="H33" s="21" t="s">
        <v>80</v>
      </c>
      <c r="I33" s="319" t="s">
        <v>54</v>
      </c>
      <c r="J33" s="319" t="s">
        <v>55</v>
      </c>
    </row>
    <row r="34" spans="1:12" ht="51.75" customHeight="1" x14ac:dyDescent="0.25">
      <c r="A34" s="19"/>
      <c r="B34" s="19"/>
      <c r="C34" s="48"/>
      <c r="D34" s="357"/>
      <c r="E34" s="23"/>
      <c r="F34" s="37"/>
      <c r="G34" s="37"/>
      <c r="H34" s="41" t="s">
        <v>81</v>
      </c>
      <c r="I34" s="50" t="s">
        <v>54</v>
      </c>
      <c r="J34" s="319" t="s">
        <v>55</v>
      </c>
    </row>
    <row r="35" spans="1:12" ht="53.25" customHeight="1" x14ac:dyDescent="0.25">
      <c r="A35" s="19"/>
      <c r="B35" s="19"/>
      <c r="C35" s="48"/>
      <c r="D35" s="357"/>
      <c r="E35" s="23"/>
      <c r="F35" s="37"/>
      <c r="G35" s="37"/>
      <c r="H35" s="21" t="s">
        <v>82</v>
      </c>
      <c r="I35" s="50" t="s">
        <v>54</v>
      </c>
      <c r="J35" s="319" t="s">
        <v>55</v>
      </c>
    </row>
    <row r="36" spans="1:12" ht="110.25" customHeight="1" x14ac:dyDescent="0.25">
      <c r="A36" s="19"/>
      <c r="B36" s="19"/>
      <c r="C36" s="48"/>
      <c r="D36" s="357"/>
      <c r="E36" s="329" t="s">
        <v>83</v>
      </c>
      <c r="F36" s="38">
        <v>0.22489999999999999</v>
      </c>
      <c r="G36" s="37">
        <v>1</v>
      </c>
      <c r="H36" s="22" t="s">
        <v>84</v>
      </c>
      <c r="I36" s="50" t="s">
        <v>54</v>
      </c>
      <c r="J36" s="319" t="s">
        <v>55</v>
      </c>
    </row>
    <row r="37" spans="1:12" ht="113.25" customHeight="1" x14ac:dyDescent="0.25">
      <c r="A37" s="19"/>
      <c r="B37" s="19"/>
      <c r="C37" s="48"/>
      <c r="D37" s="357"/>
      <c r="E37" s="329" t="s">
        <v>85</v>
      </c>
      <c r="F37" s="37">
        <v>0.17</v>
      </c>
      <c r="G37" s="37">
        <v>1</v>
      </c>
      <c r="H37" s="22" t="s">
        <v>76</v>
      </c>
      <c r="I37" s="50" t="s">
        <v>54</v>
      </c>
      <c r="J37" s="319" t="s">
        <v>55</v>
      </c>
      <c r="L37" s="21"/>
    </row>
    <row r="38" spans="1:12" ht="75.75" customHeight="1" x14ac:dyDescent="0.25">
      <c r="A38" s="19"/>
      <c r="B38" s="19"/>
      <c r="C38" s="48"/>
      <c r="D38" s="357"/>
      <c r="E38" s="329"/>
      <c r="F38" s="37"/>
      <c r="G38" s="37"/>
      <c r="H38" s="21" t="s">
        <v>86</v>
      </c>
      <c r="I38" s="50" t="s">
        <v>54</v>
      </c>
      <c r="J38" s="319" t="s">
        <v>55</v>
      </c>
      <c r="L38" s="51"/>
    </row>
    <row r="39" spans="1:12" ht="98.25" customHeight="1" x14ac:dyDescent="0.25">
      <c r="A39" s="19"/>
      <c r="B39" s="19"/>
      <c r="C39" s="48"/>
      <c r="D39" s="357"/>
      <c r="E39" s="329" t="s">
        <v>87</v>
      </c>
      <c r="F39" s="339"/>
      <c r="G39" s="339"/>
      <c r="H39" s="22"/>
      <c r="I39" s="319" t="s">
        <v>106</v>
      </c>
      <c r="J39" s="25" t="s">
        <v>27</v>
      </c>
    </row>
    <row r="40" spans="1:12" ht="53.25" customHeight="1" x14ac:dyDescent="0.25">
      <c r="A40" s="19"/>
      <c r="B40" s="19"/>
      <c r="C40" s="48"/>
      <c r="D40" s="357"/>
      <c r="E40" s="329" t="s">
        <v>88</v>
      </c>
      <c r="F40" s="319" t="s">
        <v>89</v>
      </c>
      <c r="G40" s="319" t="s">
        <v>90</v>
      </c>
      <c r="H40" s="335" t="s">
        <v>93</v>
      </c>
      <c r="I40" s="319" t="s">
        <v>1841</v>
      </c>
      <c r="J40" s="332" t="s">
        <v>39</v>
      </c>
    </row>
    <row r="41" spans="1:12" ht="59.25" customHeight="1" x14ac:dyDescent="0.25">
      <c r="A41" s="19"/>
      <c r="B41" s="19"/>
      <c r="C41" s="48"/>
      <c r="D41" s="357"/>
      <c r="E41" s="329" t="s">
        <v>97</v>
      </c>
      <c r="F41" s="319" t="s">
        <v>1842</v>
      </c>
      <c r="G41" s="319" t="s">
        <v>1843</v>
      </c>
      <c r="H41" s="143" t="s">
        <v>98</v>
      </c>
      <c r="I41" s="326" t="s">
        <v>1840</v>
      </c>
      <c r="J41" s="332" t="s">
        <v>39</v>
      </c>
    </row>
    <row r="42" spans="1:12" ht="99" customHeight="1" x14ac:dyDescent="0.25">
      <c r="A42" s="44" t="s">
        <v>100</v>
      </c>
      <c r="B42" s="22" t="s">
        <v>101</v>
      </c>
      <c r="C42" s="21" t="s">
        <v>102</v>
      </c>
      <c r="D42" s="143" t="s">
        <v>103</v>
      </c>
      <c r="E42" s="335" t="s">
        <v>104</v>
      </c>
      <c r="F42" s="53">
        <v>0.18</v>
      </c>
      <c r="G42" s="53">
        <v>0.46</v>
      </c>
      <c r="H42" s="22" t="s">
        <v>105</v>
      </c>
      <c r="I42" s="322" t="s">
        <v>106</v>
      </c>
      <c r="J42" s="54" t="s">
        <v>107</v>
      </c>
    </row>
    <row r="43" spans="1:12" ht="93.75" customHeight="1" x14ac:dyDescent="0.25">
      <c r="A43" s="29"/>
      <c r="B43" s="29"/>
      <c r="C43" s="29"/>
      <c r="D43" s="143" t="s">
        <v>108</v>
      </c>
      <c r="E43" s="335" t="s">
        <v>109</v>
      </c>
      <c r="F43" s="53">
        <v>0.18</v>
      </c>
      <c r="G43" s="53">
        <v>0.35</v>
      </c>
      <c r="H43" s="22" t="s">
        <v>110</v>
      </c>
      <c r="I43" s="322" t="s">
        <v>106</v>
      </c>
      <c r="J43" s="54" t="s">
        <v>107</v>
      </c>
    </row>
    <row r="44" spans="1:12" ht="93.75" customHeight="1" x14ac:dyDescent="0.25">
      <c r="A44" s="29"/>
      <c r="B44" s="29"/>
      <c r="C44" s="29"/>
      <c r="D44" s="143" t="s">
        <v>111</v>
      </c>
      <c r="E44" s="335" t="s">
        <v>112</v>
      </c>
      <c r="F44" s="53">
        <v>0.49</v>
      </c>
      <c r="G44" s="53">
        <v>1</v>
      </c>
      <c r="H44" s="22" t="s">
        <v>113</v>
      </c>
      <c r="I44" s="322" t="s">
        <v>106</v>
      </c>
      <c r="J44" s="54" t="s">
        <v>107</v>
      </c>
    </row>
    <row r="45" spans="1:12" ht="120" customHeight="1" x14ac:dyDescent="0.25">
      <c r="A45" s="29"/>
      <c r="B45" s="29"/>
      <c r="C45" s="29"/>
      <c r="D45" s="181"/>
      <c r="E45" s="335" t="s">
        <v>114</v>
      </c>
      <c r="F45" s="53">
        <v>0.54</v>
      </c>
      <c r="G45" s="53">
        <v>0.97</v>
      </c>
      <c r="H45" s="22" t="s">
        <v>115</v>
      </c>
      <c r="I45" s="322" t="s">
        <v>106</v>
      </c>
      <c r="J45" s="54" t="s">
        <v>107</v>
      </c>
    </row>
    <row r="46" spans="1:12" ht="105" customHeight="1" x14ac:dyDescent="0.25">
      <c r="A46" s="29"/>
      <c r="B46" s="22"/>
      <c r="C46" s="22"/>
      <c r="D46" s="143"/>
      <c r="E46" s="314" t="s">
        <v>116</v>
      </c>
      <c r="F46" s="55">
        <v>0.25</v>
      </c>
      <c r="G46" s="56">
        <v>0.88</v>
      </c>
      <c r="H46" s="57" t="s">
        <v>117</v>
      </c>
      <c r="I46" s="321" t="s">
        <v>106</v>
      </c>
      <c r="J46" s="59" t="s">
        <v>107</v>
      </c>
    </row>
    <row r="47" spans="1:12" ht="107.25" customHeight="1" x14ac:dyDescent="0.25">
      <c r="A47" s="29"/>
      <c r="B47" s="29"/>
      <c r="C47" s="29"/>
      <c r="D47" s="181"/>
      <c r="E47" s="335" t="s">
        <v>118</v>
      </c>
      <c r="F47" s="31">
        <v>0.35</v>
      </c>
      <c r="G47" s="53">
        <v>0.79</v>
      </c>
      <c r="H47" s="22" t="s">
        <v>119</v>
      </c>
      <c r="I47" s="322" t="s">
        <v>106</v>
      </c>
      <c r="J47" s="54" t="s">
        <v>107</v>
      </c>
    </row>
    <row r="48" spans="1:12" ht="121.5" customHeight="1" x14ac:dyDescent="0.25">
      <c r="A48" s="29"/>
      <c r="B48" s="29"/>
      <c r="C48" s="29"/>
      <c r="D48" s="181"/>
      <c r="E48" s="335" t="s">
        <v>120</v>
      </c>
      <c r="F48" s="53">
        <v>0.35</v>
      </c>
      <c r="G48" s="53">
        <v>0.71</v>
      </c>
      <c r="H48" s="22"/>
      <c r="I48" s="322" t="s">
        <v>106</v>
      </c>
      <c r="J48" s="54" t="s">
        <v>107</v>
      </c>
    </row>
    <row r="49" spans="1:12" ht="108.75" customHeight="1" x14ac:dyDescent="0.25">
      <c r="A49" s="29"/>
      <c r="B49" s="29"/>
      <c r="C49" s="29"/>
      <c r="D49" s="181"/>
      <c r="E49" s="335" t="s">
        <v>121</v>
      </c>
      <c r="F49" s="53">
        <v>0.34</v>
      </c>
      <c r="G49" s="53">
        <v>0.66</v>
      </c>
      <c r="H49" s="22"/>
      <c r="I49" s="322" t="s">
        <v>106</v>
      </c>
      <c r="J49" s="54" t="s">
        <v>107</v>
      </c>
    </row>
    <row r="50" spans="1:12" ht="78.75" customHeight="1" x14ac:dyDescent="0.25">
      <c r="A50" s="44"/>
      <c r="B50" s="20"/>
      <c r="C50" s="21" t="s">
        <v>122</v>
      </c>
      <c r="D50" s="143" t="s">
        <v>123</v>
      </c>
      <c r="E50" s="329" t="s">
        <v>124</v>
      </c>
      <c r="F50" s="339"/>
      <c r="G50" s="339"/>
      <c r="H50" s="22"/>
      <c r="I50" s="322" t="s">
        <v>106</v>
      </c>
      <c r="J50" s="319" t="s">
        <v>125</v>
      </c>
      <c r="L50" s="60"/>
    </row>
    <row r="51" spans="1:12" ht="150" customHeight="1" x14ac:dyDescent="0.25">
      <c r="A51" s="44" t="s">
        <v>126</v>
      </c>
      <c r="B51" s="22" t="s">
        <v>127</v>
      </c>
      <c r="C51" s="343" t="s">
        <v>128</v>
      </c>
      <c r="D51" s="337" t="s">
        <v>129</v>
      </c>
      <c r="E51" s="335" t="s">
        <v>130</v>
      </c>
      <c r="F51" s="339"/>
      <c r="G51" s="339"/>
      <c r="H51" s="336" t="s">
        <v>899</v>
      </c>
      <c r="I51" s="322" t="s">
        <v>1844</v>
      </c>
      <c r="J51" s="319" t="s">
        <v>125</v>
      </c>
    </row>
    <row r="52" spans="1:12" ht="162.75" customHeight="1" x14ac:dyDescent="0.25">
      <c r="A52" s="29"/>
      <c r="B52" s="29"/>
      <c r="C52" s="343" t="s">
        <v>131</v>
      </c>
      <c r="D52" s="143" t="s">
        <v>132</v>
      </c>
      <c r="E52" s="335" t="s">
        <v>133</v>
      </c>
      <c r="F52" s="339"/>
      <c r="G52" s="339"/>
      <c r="H52" s="29" t="s">
        <v>934</v>
      </c>
      <c r="I52" s="322" t="s">
        <v>1844</v>
      </c>
      <c r="J52" s="319" t="s">
        <v>1845</v>
      </c>
    </row>
    <row r="53" spans="1:12" ht="146.25" customHeight="1" x14ac:dyDescent="0.25">
      <c r="A53" s="22"/>
      <c r="B53" s="22"/>
      <c r="C53" s="21" t="s">
        <v>134</v>
      </c>
      <c r="D53" s="143" t="s">
        <v>135</v>
      </c>
      <c r="E53" s="335" t="s">
        <v>136</v>
      </c>
      <c r="F53" s="339"/>
      <c r="G53" s="339"/>
      <c r="H53" s="29" t="s">
        <v>1846</v>
      </c>
      <c r="I53" s="322" t="s">
        <v>1844</v>
      </c>
      <c r="J53" s="319" t="s">
        <v>1845</v>
      </c>
      <c r="L53">
        <f>122957250/264233000*100</f>
        <v>46.53364644083063</v>
      </c>
    </row>
    <row r="54" spans="1:12" ht="123.75" customHeight="1" x14ac:dyDescent="0.25">
      <c r="A54" s="44" t="s">
        <v>137</v>
      </c>
      <c r="B54" s="22" t="s">
        <v>138</v>
      </c>
      <c r="C54" s="21" t="s">
        <v>139</v>
      </c>
      <c r="D54" s="143" t="s">
        <v>140</v>
      </c>
      <c r="E54" s="62" t="s">
        <v>141</v>
      </c>
      <c r="F54" s="63">
        <v>0</v>
      </c>
      <c r="G54" s="63">
        <v>0</v>
      </c>
      <c r="H54" s="1324" t="s">
        <v>142</v>
      </c>
      <c r="I54" s="332" t="s">
        <v>143</v>
      </c>
      <c r="J54" s="332" t="s">
        <v>144</v>
      </c>
    </row>
    <row r="55" spans="1:12" ht="207.75" customHeight="1" x14ac:dyDescent="0.25">
      <c r="A55" s="29"/>
      <c r="B55" s="29"/>
      <c r="C55" s="21"/>
      <c r="D55" s="143"/>
      <c r="E55" s="62" t="s">
        <v>145</v>
      </c>
      <c r="F55" s="64">
        <v>0</v>
      </c>
      <c r="G55" s="65">
        <v>0</v>
      </c>
      <c r="H55" s="1325"/>
      <c r="I55" s="332" t="s">
        <v>143</v>
      </c>
      <c r="J55" s="332" t="s">
        <v>144</v>
      </c>
    </row>
    <row r="56" spans="1:12" ht="114" customHeight="1" x14ac:dyDescent="0.25">
      <c r="A56" s="29"/>
      <c r="B56" s="29"/>
      <c r="C56" s="21"/>
      <c r="D56" s="143"/>
      <c r="E56" s="62" t="s">
        <v>146</v>
      </c>
      <c r="F56" s="64">
        <v>0</v>
      </c>
      <c r="G56" s="64">
        <v>0.45</v>
      </c>
      <c r="H56" s="1324" t="s">
        <v>147</v>
      </c>
      <c r="I56" s="332" t="s">
        <v>143</v>
      </c>
      <c r="J56" s="332" t="s">
        <v>144</v>
      </c>
    </row>
    <row r="57" spans="1:12" ht="112.5" customHeight="1" x14ac:dyDescent="0.25">
      <c r="A57" s="66"/>
      <c r="B57" s="66"/>
      <c r="C57" s="26"/>
      <c r="D57" s="181"/>
      <c r="E57" s="62" t="s">
        <v>148</v>
      </c>
      <c r="F57" s="65">
        <v>0.25</v>
      </c>
      <c r="G57" s="65">
        <v>0.5</v>
      </c>
      <c r="H57" s="1325"/>
      <c r="I57" s="332" t="s">
        <v>143</v>
      </c>
      <c r="J57" s="332" t="s">
        <v>144</v>
      </c>
    </row>
    <row r="58" spans="1:12" ht="121.5" customHeight="1" x14ac:dyDescent="0.25">
      <c r="A58" s="66"/>
      <c r="B58" s="66"/>
      <c r="C58" s="26"/>
      <c r="D58" s="181"/>
      <c r="E58" s="62" t="s">
        <v>149</v>
      </c>
      <c r="F58" s="65">
        <v>0.25</v>
      </c>
      <c r="G58" s="65">
        <v>0.5</v>
      </c>
      <c r="H58" s="21" t="s">
        <v>150</v>
      </c>
      <c r="I58" s="332" t="s">
        <v>143</v>
      </c>
      <c r="J58" s="332" t="s">
        <v>144</v>
      </c>
    </row>
    <row r="59" spans="1:12" ht="147.75" customHeight="1" x14ac:dyDescent="0.25">
      <c r="A59" s="66"/>
      <c r="B59" s="66"/>
      <c r="C59" s="26"/>
      <c r="D59" s="181"/>
      <c r="E59" s="62" t="s">
        <v>151</v>
      </c>
      <c r="F59" s="65">
        <v>0.25</v>
      </c>
      <c r="G59" s="64">
        <f>146/156*100%</f>
        <v>0.9358974358974359</v>
      </c>
      <c r="H59" s="21" t="s">
        <v>152</v>
      </c>
      <c r="I59" s="332" t="s">
        <v>143</v>
      </c>
      <c r="J59" s="332" t="s">
        <v>144</v>
      </c>
    </row>
    <row r="60" spans="1:12" ht="110.25" customHeight="1" x14ac:dyDescent="0.25">
      <c r="A60" s="67"/>
      <c r="B60" s="67"/>
      <c r="C60" s="21"/>
      <c r="D60" s="143"/>
      <c r="E60" s="62" t="s">
        <v>153</v>
      </c>
      <c r="F60" s="333">
        <v>0</v>
      </c>
      <c r="G60" s="333" t="s">
        <v>154</v>
      </c>
      <c r="H60" s="1324" t="s">
        <v>1873</v>
      </c>
      <c r="I60" s="332" t="s">
        <v>143</v>
      </c>
      <c r="J60" s="332" t="s">
        <v>144</v>
      </c>
    </row>
    <row r="61" spans="1:12" ht="88.5" customHeight="1" x14ac:dyDescent="0.25">
      <c r="A61" s="69"/>
      <c r="B61" s="69"/>
      <c r="C61" s="26"/>
      <c r="D61" s="181"/>
      <c r="E61" s="70" t="s">
        <v>155</v>
      </c>
      <c r="F61" s="333" t="s">
        <v>156</v>
      </c>
      <c r="G61" s="333" t="s">
        <v>157</v>
      </c>
      <c r="H61" s="1325"/>
      <c r="I61" s="332" t="s">
        <v>143</v>
      </c>
      <c r="J61" s="332" t="s">
        <v>144</v>
      </c>
    </row>
    <row r="62" spans="1:12" ht="157.5" customHeight="1" x14ac:dyDescent="0.25">
      <c r="A62" s="69"/>
      <c r="B62" s="69"/>
      <c r="C62" s="26"/>
      <c r="D62" s="181"/>
      <c r="E62" s="70" t="s">
        <v>158</v>
      </c>
      <c r="F62" s="333" t="s">
        <v>159</v>
      </c>
      <c r="G62" s="333" t="s">
        <v>160</v>
      </c>
      <c r="H62" s="22"/>
      <c r="I62" s="332" t="s">
        <v>143</v>
      </c>
      <c r="J62" s="332" t="s">
        <v>144</v>
      </c>
    </row>
    <row r="63" spans="1:12" ht="131.25" customHeight="1" x14ac:dyDescent="0.25">
      <c r="A63" s="69"/>
      <c r="B63" s="69"/>
      <c r="C63" s="26"/>
      <c r="D63" s="181"/>
      <c r="E63" s="71" t="s">
        <v>161</v>
      </c>
      <c r="F63" s="333">
        <v>0</v>
      </c>
      <c r="G63" s="333" t="s">
        <v>160</v>
      </c>
      <c r="H63" s="22"/>
      <c r="I63" s="332" t="s">
        <v>143</v>
      </c>
      <c r="J63" s="332" t="s">
        <v>144</v>
      </c>
    </row>
    <row r="64" spans="1:12" ht="143.25" customHeight="1" x14ac:dyDescent="0.25">
      <c r="A64" s="72"/>
      <c r="B64" s="72"/>
      <c r="C64" s="21"/>
      <c r="D64" s="143"/>
      <c r="E64" s="71" t="s">
        <v>162</v>
      </c>
      <c r="F64" s="333">
        <v>0</v>
      </c>
      <c r="G64" s="333" t="s">
        <v>160</v>
      </c>
      <c r="H64" s="22"/>
      <c r="I64" s="332" t="s">
        <v>143</v>
      </c>
      <c r="J64" s="332" t="s">
        <v>144</v>
      </c>
    </row>
    <row r="65" spans="1:12" ht="108.75" customHeight="1" x14ac:dyDescent="0.25">
      <c r="A65" s="66"/>
      <c r="B65" s="66"/>
      <c r="C65" s="26"/>
      <c r="D65" s="181"/>
      <c r="E65" s="71" t="s">
        <v>163</v>
      </c>
      <c r="F65" s="333">
        <v>0</v>
      </c>
      <c r="G65" s="347">
        <v>0</v>
      </c>
      <c r="H65" s="22"/>
      <c r="I65" s="332" t="s">
        <v>143</v>
      </c>
      <c r="J65" s="332" t="s">
        <v>144</v>
      </c>
    </row>
    <row r="66" spans="1:12" ht="99.75" customHeight="1" x14ac:dyDescent="0.25">
      <c r="A66" s="44" t="s">
        <v>164</v>
      </c>
      <c r="B66" s="74" t="s">
        <v>165</v>
      </c>
      <c r="C66" s="36" t="s">
        <v>166</v>
      </c>
      <c r="D66" s="341" t="s">
        <v>167</v>
      </c>
      <c r="E66" s="70" t="s">
        <v>168</v>
      </c>
      <c r="F66" s="333">
        <v>0</v>
      </c>
      <c r="G66" s="333" t="s">
        <v>1162</v>
      </c>
      <c r="H66" s="1324" t="s">
        <v>174</v>
      </c>
      <c r="I66" s="79" t="s">
        <v>175</v>
      </c>
      <c r="J66" s="332" t="s">
        <v>144</v>
      </c>
    </row>
    <row r="67" spans="1:12" ht="114" customHeight="1" x14ac:dyDescent="0.25">
      <c r="A67" s="74"/>
      <c r="B67" s="74"/>
      <c r="C67" s="36"/>
      <c r="D67" s="337" t="s">
        <v>170</v>
      </c>
      <c r="E67" s="76" t="s">
        <v>171</v>
      </c>
      <c r="F67" s="77" t="s">
        <v>172</v>
      </c>
      <c r="G67" s="78" t="s">
        <v>173</v>
      </c>
      <c r="H67" s="1326"/>
      <c r="I67" s="79" t="s">
        <v>175</v>
      </c>
      <c r="J67" s="79" t="s">
        <v>144</v>
      </c>
    </row>
    <row r="68" spans="1:12" ht="88.5" customHeight="1" x14ac:dyDescent="0.25">
      <c r="A68" s="74"/>
      <c r="B68" s="74"/>
      <c r="C68" s="36"/>
      <c r="D68" s="337"/>
      <c r="E68" s="70" t="s">
        <v>176</v>
      </c>
      <c r="F68" s="333">
        <v>0</v>
      </c>
      <c r="G68" s="333" t="s">
        <v>1162</v>
      </c>
      <c r="H68" s="1326"/>
      <c r="I68" s="332" t="s">
        <v>175</v>
      </c>
      <c r="J68" s="332" t="s">
        <v>144</v>
      </c>
    </row>
    <row r="69" spans="1:12" ht="121.5" customHeight="1" x14ac:dyDescent="0.25">
      <c r="A69" s="80"/>
      <c r="B69" s="80"/>
      <c r="C69" s="26"/>
      <c r="D69" s="181"/>
      <c r="E69" s="70" t="s">
        <v>178</v>
      </c>
      <c r="F69" s="333">
        <v>0</v>
      </c>
      <c r="G69" s="333" t="s">
        <v>1162</v>
      </c>
      <c r="H69" s="1326"/>
      <c r="I69" s="332" t="s">
        <v>175</v>
      </c>
      <c r="J69" s="332" t="s">
        <v>144</v>
      </c>
    </row>
    <row r="70" spans="1:12" ht="137.25" customHeight="1" x14ac:dyDescent="0.25">
      <c r="A70" s="66"/>
      <c r="B70" s="66"/>
      <c r="C70" s="26"/>
      <c r="D70" s="181"/>
      <c r="E70" s="70" t="s">
        <v>180</v>
      </c>
      <c r="F70" s="333" t="s">
        <v>181</v>
      </c>
      <c r="G70" s="333" t="s">
        <v>182</v>
      </c>
      <c r="H70" s="1325"/>
      <c r="I70" s="332" t="s">
        <v>175</v>
      </c>
      <c r="J70" s="332" t="s">
        <v>144</v>
      </c>
    </row>
    <row r="71" spans="1:12" ht="98.25" customHeight="1" x14ac:dyDescent="0.25">
      <c r="A71" s="66"/>
      <c r="B71" s="66"/>
      <c r="C71" s="26"/>
      <c r="D71" s="181"/>
      <c r="E71" s="70" t="s">
        <v>183</v>
      </c>
      <c r="F71" s="333" t="s">
        <v>184</v>
      </c>
      <c r="G71" s="333" t="s">
        <v>185</v>
      </c>
      <c r="H71" s="21" t="s">
        <v>1874</v>
      </c>
      <c r="I71" s="332" t="s">
        <v>175</v>
      </c>
      <c r="J71" s="332" t="s">
        <v>144</v>
      </c>
    </row>
    <row r="72" spans="1:12" ht="75.75" customHeight="1" x14ac:dyDescent="0.25">
      <c r="A72" s="66"/>
      <c r="B72" s="66"/>
      <c r="C72" s="26"/>
      <c r="D72" s="181"/>
      <c r="E72" s="70" t="s">
        <v>186</v>
      </c>
      <c r="F72" s="333">
        <v>0</v>
      </c>
      <c r="G72" s="347" t="s">
        <v>187</v>
      </c>
      <c r="H72" s="21" t="s">
        <v>177</v>
      </c>
      <c r="I72" s="332" t="s">
        <v>175</v>
      </c>
      <c r="J72" s="332" t="s">
        <v>144</v>
      </c>
    </row>
    <row r="73" spans="1:12" ht="53.25" customHeight="1" x14ac:dyDescent="0.25">
      <c r="A73" s="66"/>
      <c r="B73" s="66"/>
      <c r="C73" s="26"/>
      <c r="D73" s="181"/>
      <c r="E73" s="70" t="s">
        <v>189</v>
      </c>
      <c r="F73" s="333" t="s">
        <v>173</v>
      </c>
      <c r="G73" s="347" t="s">
        <v>190</v>
      </c>
      <c r="H73" s="21" t="s">
        <v>188</v>
      </c>
      <c r="I73" s="332" t="s">
        <v>175</v>
      </c>
      <c r="J73" s="332" t="s">
        <v>144</v>
      </c>
    </row>
    <row r="74" spans="1:12" ht="87.75" customHeight="1" x14ac:dyDescent="0.25">
      <c r="A74" s="20"/>
      <c r="B74" s="20"/>
      <c r="C74" s="343"/>
      <c r="D74" s="337"/>
      <c r="E74" s="329" t="s">
        <v>191</v>
      </c>
      <c r="F74" s="319" t="s">
        <v>1807</v>
      </c>
      <c r="G74" s="319" t="s">
        <v>1808</v>
      </c>
      <c r="H74" s="335" t="s">
        <v>1809</v>
      </c>
      <c r="I74" s="319" t="s">
        <v>849</v>
      </c>
      <c r="J74" s="319" t="s">
        <v>192</v>
      </c>
    </row>
    <row r="75" spans="1:12" s="18" customFormat="1" ht="34.5" customHeight="1" x14ac:dyDescent="0.25">
      <c r="A75" s="16" t="s">
        <v>193</v>
      </c>
      <c r="B75" s="1397" t="s">
        <v>194</v>
      </c>
      <c r="C75" s="1398"/>
      <c r="D75" s="1398"/>
      <c r="E75" s="1398"/>
      <c r="F75" s="1398"/>
      <c r="G75" s="1398"/>
      <c r="H75" s="1398"/>
      <c r="I75" s="1398"/>
      <c r="J75" s="1398"/>
      <c r="K75" s="17"/>
    </row>
    <row r="76" spans="1:12" s="400" customFormat="1" ht="56.25" customHeight="1" x14ac:dyDescent="0.25">
      <c r="A76" s="416" t="s">
        <v>195</v>
      </c>
      <c r="B76" s="416" t="s">
        <v>196</v>
      </c>
      <c r="C76" s="143" t="s">
        <v>201</v>
      </c>
      <c r="D76" s="143" t="s">
        <v>202</v>
      </c>
      <c r="E76" s="337" t="s">
        <v>203</v>
      </c>
      <c r="F76" s="85">
        <v>0.85</v>
      </c>
      <c r="G76" s="193">
        <v>0.9</v>
      </c>
      <c r="H76" s="143" t="s">
        <v>204</v>
      </c>
      <c r="I76" s="333" t="s">
        <v>205</v>
      </c>
      <c r="J76" s="333" t="s">
        <v>94</v>
      </c>
      <c r="L76" s="417"/>
    </row>
    <row r="77" spans="1:12" ht="66.75" customHeight="1" x14ac:dyDescent="0.25">
      <c r="A77" s="82"/>
      <c r="B77" s="82"/>
      <c r="C77" s="21" t="s">
        <v>206</v>
      </c>
      <c r="D77" s="143" t="s">
        <v>207</v>
      </c>
      <c r="E77" s="86" t="s">
        <v>208</v>
      </c>
      <c r="F77" s="323" t="s">
        <v>209</v>
      </c>
      <c r="G77" s="332" t="s">
        <v>210</v>
      </c>
      <c r="H77" s="358" t="s">
        <v>211</v>
      </c>
      <c r="I77" s="322" t="s">
        <v>212</v>
      </c>
      <c r="J77" s="320" t="s">
        <v>200</v>
      </c>
    </row>
    <row r="78" spans="1:12" ht="69.75" customHeight="1" x14ac:dyDescent="0.25">
      <c r="A78" s="82"/>
      <c r="B78" s="82"/>
      <c r="C78" s="21" t="s">
        <v>214</v>
      </c>
      <c r="D78" s="143" t="s">
        <v>215</v>
      </c>
      <c r="E78" s="86" t="s">
        <v>216</v>
      </c>
      <c r="F78" s="93" t="s">
        <v>217</v>
      </c>
      <c r="G78" s="323" t="s">
        <v>218</v>
      </c>
      <c r="H78" s="328" t="s">
        <v>219</v>
      </c>
      <c r="I78" s="319" t="s">
        <v>220</v>
      </c>
      <c r="J78" s="320" t="s">
        <v>200</v>
      </c>
    </row>
    <row r="79" spans="1:12" ht="75.75" customHeight="1" x14ac:dyDescent="0.25">
      <c r="A79" s="20"/>
      <c r="B79" s="20"/>
      <c r="C79" s="22" t="s">
        <v>221</v>
      </c>
      <c r="D79" s="143" t="s">
        <v>198</v>
      </c>
      <c r="E79" s="335" t="s">
        <v>222</v>
      </c>
      <c r="F79" s="1377"/>
      <c r="G79" s="1378"/>
      <c r="H79" s="22"/>
      <c r="I79" s="332"/>
      <c r="J79" s="322"/>
      <c r="L79" s="28"/>
    </row>
    <row r="80" spans="1:12" ht="54.75" customHeight="1" x14ac:dyDescent="0.25">
      <c r="A80" s="20"/>
      <c r="B80" s="20"/>
      <c r="C80" s="29"/>
      <c r="D80" s="181"/>
      <c r="E80" s="94" t="s">
        <v>223</v>
      </c>
      <c r="F80" s="323" t="s">
        <v>1800</v>
      </c>
      <c r="G80" s="323" t="s">
        <v>1800</v>
      </c>
      <c r="H80" s="314" t="s">
        <v>91</v>
      </c>
      <c r="I80" s="322" t="s">
        <v>1847</v>
      </c>
      <c r="J80" s="322" t="s">
        <v>94</v>
      </c>
      <c r="L80" s="28"/>
    </row>
    <row r="81" spans="1:12" ht="53.25" customHeight="1" x14ac:dyDescent="0.25">
      <c r="A81" s="20"/>
      <c r="B81" s="20"/>
      <c r="C81" s="29"/>
      <c r="D81" s="181"/>
      <c r="E81" s="318" t="s">
        <v>224</v>
      </c>
      <c r="F81" s="323" t="s">
        <v>1801</v>
      </c>
      <c r="G81" s="323" t="s">
        <v>1802</v>
      </c>
      <c r="H81" s="335" t="s">
        <v>95</v>
      </c>
      <c r="I81" s="322" t="s">
        <v>1847</v>
      </c>
      <c r="J81" s="322" t="s">
        <v>94</v>
      </c>
      <c r="L81" s="28"/>
    </row>
    <row r="82" spans="1:12" ht="43.5" customHeight="1" x14ac:dyDescent="0.25">
      <c r="A82" s="20"/>
      <c r="B82" s="20"/>
      <c r="C82" s="29"/>
      <c r="D82" s="181"/>
      <c r="E82" s="94" t="s">
        <v>225</v>
      </c>
      <c r="F82" s="323" t="s">
        <v>1801</v>
      </c>
      <c r="G82" s="323" t="s">
        <v>1803</v>
      </c>
      <c r="H82" s="1335" t="s">
        <v>96</v>
      </c>
      <c r="I82" s="322" t="s">
        <v>1847</v>
      </c>
      <c r="J82" s="322" t="s">
        <v>94</v>
      </c>
      <c r="L82" s="28"/>
    </row>
    <row r="83" spans="1:12" ht="27" customHeight="1" x14ac:dyDescent="0.25">
      <c r="A83" s="20"/>
      <c r="B83" s="20"/>
      <c r="C83" s="29"/>
      <c r="D83" s="181"/>
      <c r="E83" s="94" t="s">
        <v>226</v>
      </c>
      <c r="F83" s="323" t="s">
        <v>1801</v>
      </c>
      <c r="G83" s="323" t="s">
        <v>1804</v>
      </c>
      <c r="H83" s="1336"/>
      <c r="I83" s="322" t="s">
        <v>1847</v>
      </c>
      <c r="J83" s="322" t="s">
        <v>94</v>
      </c>
      <c r="L83" s="28"/>
    </row>
    <row r="84" spans="1:12" ht="72" customHeight="1" x14ac:dyDescent="0.25">
      <c r="A84" s="82"/>
      <c r="B84" s="82"/>
      <c r="C84" s="21"/>
      <c r="D84" s="143"/>
      <c r="E84" s="96" t="s">
        <v>227</v>
      </c>
      <c r="F84" s="1415"/>
      <c r="G84" s="1415"/>
      <c r="H84" s="1416" t="s">
        <v>228</v>
      </c>
      <c r="I84" s="1350" t="s">
        <v>229</v>
      </c>
      <c r="J84" s="1417" t="s">
        <v>200</v>
      </c>
    </row>
    <row r="85" spans="1:12" ht="27" customHeight="1" x14ac:dyDescent="0.25">
      <c r="A85" s="82"/>
      <c r="B85" s="82"/>
      <c r="C85" s="21"/>
      <c r="D85" s="143"/>
      <c r="E85" s="343" t="s">
        <v>230</v>
      </c>
      <c r="F85" s="97" t="s">
        <v>231</v>
      </c>
      <c r="G85" s="98" t="s">
        <v>232</v>
      </c>
      <c r="H85" s="1393"/>
      <c r="I85" s="1369"/>
      <c r="J85" s="1414"/>
    </row>
    <row r="86" spans="1:12" ht="22.5" customHeight="1" x14ac:dyDescent="0.25">
      <c r="A86" s="82"/>
      <c r="B86" s="82"/>
      <c r="C86" s="21"/>
      <c r="D86" s="143"/>
      <c r="E86" s="343" t="s">
        <v>233</v>
      </c>
      <c r="F86" s="323" t="s">
        <v>234</v>
      </c>
      <c r="G86" s="332" t="s">
        <v>235</v>
      </c>
      <c r="H86" s="1393"/>
      <c r="I86" s="1369"/>
      <c r="J86" s="1414"/>
    </row>
    <row r="87" spans="1:12" ht="28.5" customHeight="1" x14ac:dyDescent="0.25">
      <c r="A87" s="82"/>
      <c r="B87" s="82"/>
      <c r="C87" s="21"/>
      <c r="D87" s="143"/>
      <c r="E87" s="100" t="s">
        <v>236</v>
      </c>
      <c r="F87" s="323" t="s">
        <v>217</v>
      </c>
      <c r="G87" s="332" t="s">
        <v>237</v>
      </c>
      <c r="H87" s="1393"/>
      <c r="I87" s="1369"/>
      <c r="J87" s="1414"/>
    </row>
    <row r="88" spans="1:12" ht="62.25" customHeight="1" x14ac:dyDescent="0.25">
      <c r="A88" s="20"/>
      <c r="B88" s="20"/>
      <c r="C88" s="29"/>
      <c r="D88" s="181"/>
      <c r="E88" s="335" t="s">
        <v>238</v>
      </c>
      <c r="F88" s="1418"/>
      <c r="G88" s="1418"/>
      <c r="H88" s="1348" t="s">
        <v>239</v>
      </c>
      <c r="I88" s="332" t="s">
        <v>205</v>
      </c>
      <c r="J88" s="322" t="s">
        <v>94</v>
      </c>
      <c r="L88" s="28"/>
    </row>
    <row r="89" spans="1:12" s="103" customFormat="1" ht="45" customHeight="1" x14ac:dyDescent="0.25">
      <c r="A89" s="20"/>
      <c r="B89" s="20"/>
      <c r="C89" s="29"/>
      <c r="D89" s="181"/>
      <c r="E89" s="101" t="s">
        <v>240</v>
      </c>
      <c r="F89" s="102" t="s">
        <v>241</v>
      </c>
      <c r="G89" s="332" t="s">
        <v>242</v>
      </c>
      <c r="H89" s="1349"/>
      <c r="I89" s="332"/>
      <c r="J89" s="332" t="s">
        <v>94</v>
      </c>
      <c r="L89" s="104"/>
    </row>
    <row r="90" spans="1:12" ht="39" customHeight="1" x14ac:dyDescent="0.25">
      <c r="A90" s="20"/>
      <c r="B90" s="20"/>
      <c r="C90" s="29"/>
      <c r="D90" s="181"/>
      <c r="E90" s="105" t="s">
        <v>243</v>
      </c>
      <c r="F90" s="106" t="s">
        <v>244</v>
      </c>
      <c r="G90" s="322" t="s">
        <v>245</v>
      </c>
      <c r="H90" s="1350"/>
      <c r="I90" s="322" t="s">
        <v>205</v>
      </c>
      <c r="J90" s="322" t="s">
        <v>94</v>
      </c>
      <c r="L90" s="28"/>
    </row>
    <row r="91" spans="1:12" ht="75" customHeight="1" x14ac:dyDescent="0.25">
      <c r="A91" s="82"/>
      <c r="B91" s="82"/>
      <c r="C91" s="21"/>
      <c r="D91" s="143"/>
      <c r="E91" s="107" t="s">
        <v>246</v>
      </c>
      <c r="F91" s="1413"/>
      <c r="G91" s="1413"/>
      <c r="H91" s="1393" t="s">
        <v>247</v>
      </c>
      <c r="I91" s="1363" t="s">
        <v>220</v>
      </c>
      <c r="J91" s="1414" t="s">
        <v>200</v>
      </c>
    </row>
    <row r="92" spans="1:12" ht="29.25" customHeight="1" x14ac:dyDescent="0.25">
      <c r="A92" s="82"/>
      <c r="B92" s="82"/>
      <c r="C92" s="21"/>
      <c r="D92" s="143"/>
      <c r="E92" s="107" t="s">
        <v>248</v>
      </c>
      <c r="F92" s="332" t="s">
        <v>249</v>
      </c>
      <c r="G92" s="110" t="s">
        <v>250</v>
      </c>
      <c r="H92" s="1393"/>
      <c r="I92" s="1363"/>
      <c r="J92" s="1414"/>
    </row>
    <row r="93" spans="1:12" ht="26.25" customHeight="1" x14ac:dyDescent="0.25">
      <c r="A93" s="82"/>
      <c r="B93" s="82"/>
      <c r="C93" s="21"/>
      <c r="D93" s="143"/>
      <c r="E93" s="100" t="s">
        <v>251</v>
      </c>
      <c r="F93" s="323" t="s">
        <v>252</v>
      </c>
      <c r="G93" s="110" t="s">
        <v>253</v>
      </c>
      <c r="H93" s="1393"/>
      <c r="I93" s="1363"/>
      <c r="J93" s="1414"/>
    </row>
    <row r="94" spans="1:12" ht="26.25" customHeight="1" x14ac:dyDescent="0.25">
      <c r="A94" s="82"/>
      <c r="B94" s="82"/>
      <c r="C94" s="21"/>
      <c r="D94" s="143"/>
      <c r="E94" s="100" t="s">
        <v>254</v>
      </c>
      <c r="F94" s="323" t="s">
        <v>255</v>
      </c>
      <c r="G94" s="110" t="s">
        <v>256</v>
      </c>
      <c r="H94" s="1393"/>
      <c r="I94" s="1363"/>
      <c r="J94" s="1414"/>
    </row>
    <row r="95" spans="1:12" ht="37.5" customHeight="1" x14ac:dyDescent="0.25">
      <c r="A95" s="82"/>
      <c r="B95" s="82"/>
      <c r="C95" s="21"/>
      <c r="D95" s="143"/>
      <c r="E95" s="96" t="s">
        <v>257</v>
      </c>
      <c r="F95" s="1413"/>
      <c r="G95" s="1413"/>
      <c r="H95" s="1365" t="s">
        <v>258</v>
      </c>
      <c r="I95" s="1363" t="s">
        <v>220</v>
      </c>
      <c r="J95" s="1414" t="s">
        <v>200</v>
      </c>
    </row>
    <row r="96" spans="1:12" ht="27.75" customHeight="1" x14ac:dyDescent="0.25">
      <c r="A96" s="82"/>
      <c r="B96" s="82"/>
      <c r="C96" s="21"/>
      <c r="D96" s="143"/>
      <c r="E96" s="86" t="s">
        <v>259</v>
      </c>
      <c r="F96" s="323">
        <v>4.4249999999999998</v>
      </c>
      <c r="G96" s="332">
        <v>4570</v>
      </c>
      <c r="H96" s="1365"/>
      <c r="I96" s="1363"/>
      <c r="J96" s="1414"/>
    </row>
    <row r="97" spans="1:11" ht="29.25" customHeight="1" x14ac:dyDescent="0.25">
      <c r="A97" s="82"/>
      <c r="B97" s="82"/>
      <c r="C97" s="21"/>
      <c r="D97" s="143"/>
      <c r="E97" s="86" t="s">
        <v>260</v>
      </c>
      <c r="F97" s="323">
        <v>5.2430000000000003</v>
      </c>
      <c r="G97" s="332">
        <v>5548</v>
      </c>
      <c r="H97" s="1365"/>
      <c r="I97" s="1363"/>
      <c r="J97" s="1414"/>
    </row>
    <row r="98" spans="1:11" ht="30.75" customHeight="1" x14ac:dyDescent="0.25">
      <c r="A98" s="82"/>
      <c r="B98" s="82"/>
      <c r="C98" s="21"/>
      <c r="D98" s="143"/>
      <c r="E98" s="86" t="s">
        <v>261</v>
      </c>
      <c r="F98" s="323">
        <v>93.304000000000002</v>
      </c>
      <c r="G98" s="332">
        <v>103304</v>
      </c>
      <c r="H98" s="1365"/>
      <c r="I98" s="1363"/>
      <c r="J98" s="1414"/>
    </row>
    <row r="99" spans="1:11" ht="33" customHeight="1" x14ac:dyDescent="0.25">
      <c r="A99" s="82"/>
      <c r="B99" s="82"/>
      <c r="C99" s="21"/>
      <c r="D99" s="143"/>
      <c r="E99" s="100" t="s">
        <v>262</v>
      </c>
      <c r="F99" s="323">
        <v>5000</v>
      </c>
      <c r="G99" s="332">
        <v>15000</v>
      </c>
      <c r="H99" s="1365"/>
      <c r="I99" s="1363"/>
      <c r="J99" s="1414"/>
    </row>
    <row r="100" spans="1:11" ht="62.25" customHeight="1" x14ac:dyDescent="0.25">
      <c r="A100" s="20"/>
      <c r="B100" s="20"/>
      <c r="C100" s="22"/>
      <c r="D100" s="337"/>
      <c r="E100" s="329" t="s">
        <v>264</v>
      </c>
      <c r="F100" s="85">
        <v>0.88</v>
      </c>
      <c r="G100" s="111">
        <v>1</v>
      </c>
      <c r="H100" s="329" t="s">
        <v>265</v>
      </c>
      <c r="I100" s="322" t="s">
        <v>220</v>
      </c>
      <c r="J100" s="319" t="s">
        <v>266</v>
      </c>
    </row>
    <row r="101" spans="1:11" ht="52.5" customHeight="1" x14ac:dyDescent="0.25">
      <c r="A101" s="20"/>
      <c r="B101" s="20"/>
      <c r="C101" s="22"/>
      <c r="D101" s="337"/>
      <c r="E101" s="329" t="s">
        <v>267</v>
      </c>
      <c r="F101" s="112" t="s">
        <v>268</v>
      </c>
      <c r="G101" s="111" t="s">
        <v>269</v>
      </c>
      <c r="H101" s="329" t="s">
        <v>270</v>
      </c>
      <c r="I101" s="322" t="s">
        <v>220</v>
      </c>
      <c r="J101" s="319" t="s">
        <v>266</v>
      </c>
    </row>
    <row r="102" spans="1:11" ht="58.5" customHeight="1" x14ac:dyDescent="0.25">
      <c r="A102" s="20"/>
      <c r="B102" s="20"/>
      <c r="C102" s="22"/>
      <c r="D102" s="337"/>
      <c r="E102" s="329" t="s">
        <v>271</v>
      </c>
      <c r="F102" s="85">
        <v>0.1</v>
      </c>
      <c r="G102" s="113">
        <v>0.7</v>
      </c>
      <c r="H102" s="114" t="s">
        <v>272</v>
      </c>
      <c r="I102" s="322" t="s">
        <v>220</v>
      </c>
      <c r="J102" s="319" t="s">
        <v>266</v>
      </c>
    </row>
    <row r="103" spans="1:11" ht="51.75" customHeight="1" x14ac:dyDescent="0.25">
      <c r="A103" s="20"/>
      <c r="B103" s="20"/>
      <c r="C103" s="22"/>
      <c r="D103" s="182"/>
      <c r="E103" s="329" t="s">
        <v>273</v>
      </c>
      <c r="F103" s="85">
        <v>0.78</v>
      </c>
      <c r="G103" s="111">
        <v>0.84</v>
      </c>
      <c r="H103" s="114" t="s">
        <v>274</v>
      </c>
      <c r="I103" s="322" t="s">
        <v>220</v>
      </c>
      <c r="J103" s="319" t="s">
        <v>266</v>
      </c>
    </row>
    <row r="104" spans="1:11" ht="83.25" customHeight="1" x14ac:dyDescent="0.25">
      <c r="A104" s="20"/>
      <c r="B104" s="20"/>
      <c r="C104" s="22"/>
      <c r="D104" s="182"/>
      <c r="E104" s="335" t="s">
        <v>275</v>
      </c>
      <c r="F104" s="85">
        <v>0.9</v>
      </c>
      <c r="G104" s="111">
        <v>0.96</v>
      </c>
      <c r="H104" s="1318" t="s">
        <v>276</v>
      </c>
      <c r="I104" s="332" t="s">
        <v>229</v>
      </c>
      <c r="J104" s="319" t="s">
        <v>266</v>
      </c>
    </row>
    <row r="105" spans="1:11" ht="52.5" customHeight="1" x14ac:dyDescent="0.25">
      <c r="A105" s="20"/>
      <c r="B105" s="20"/>
      <c r="C105" s="115"/>
      <c r="D105" s="182"/>
      <c r="E105" s="335" t="s">
        <v>277</v>
      </c>
      <c r="F105" s="112" t="s">
        <v>278</v>
      </c>
      <c r="G105" s="117" t="s">
        <v>279</v>
      </c>
      <c r="H105" s="1319"/>
      <c r="I105" s="332" t="s">
        <v>229</v>
      </c>
      <c r="J105" s="319" t="s">
        <v>266</v>
      </c>
      <c r="K105" s="118"/>
    </row>
    <row r="106" spans="1:11" ht="51.75" customHeight="1" x14ac:dyDescent="0.25">
      <c r="A106" s="20"/>
      <c r="B106" s="20"/>
      <c r="C106" s="115"/>
      <c r="D106" s="182"/>
      <c r="E106" s="335" t="s">
        <v>280</v>
      </c>
      <c r="F106" s="85">
        <v>0.3</v>
      </c>
      <c r="G106" s="111">
        <v>1</v>
      </c>
      <c r="H106" s="1320"/>
      <c r="I106" s="332" t="s">
        <v>229</v>
      </c>
      <c r="J106" s="319" t="s">
        <v>266</v>
      </c>
      <c r="K106" s="118"/>
    </row>
    <row r="107" spans="1:11" ht="41.25" customHeight="1" x14ac:dyDescent="0.25">
      <c r="A107" s="82"/>
      <c r="B107" s="82"/>
      <c r="C107" s="21"/>
      <c r="D107" s="143"/>
      <c r="E107" s="119" t="s">
        <v>281</v>
      </c>
      <c r="F107" s="1407"/>
      <c r="G107" s="1408"/>
      <c r="H107" s="343"/>
      <c r="I107" s="319"/>
      <c r="J107" s="320"/>
    </row>
    <row r="108" spans="1:11" ht="79.5" customHeight="1" x14ac:dyDescent="0.25">
      <c r="A108" s="82"/>
      <c r="B108" s="82"/>
      <c r="C108" s="21"/>
      <c r="D108" s="143"/>
      <c r="E108" s="120" t="s">
        <v>282</v>
      </c>
      <c r="F108" s="121" t="s">
        <v>283</v>
      </c>
      <c r="G108" s="122" t="s">
        <v>284</v>
      </c>
      <c r="H108" s="343" t="s">
        <v>1877</v>
      </c>
      <c r="I108" s="319" t="s">
        <v>220</v>
      </c>
      <c r="J108" s="320" t="s">
        <v>200</v>
      </c>
    </row>
    <row r="109" spans="1:11" ht="55.5" customHeight="1" x14ac:dyDescent="0.25">
      <c r="A109" s="82"/>
      <c r="B109" s="82"/>
      <c r="C109" s="21"/>
      <c r="D109" s="143"/>
      <c r="E109" s="120" t="s">
        <v>285</v>
      </c>
      <c r="F109" s="323" t="s">
        <v>286</v>
      </c>
      <c r="G109" s="323" t="s">
        <v>287</v>
      </c>
      <c r="H109" s="1327" t="s">
        <v>1876</v>
      </c>
      <c r="I109" s="322" t="s">
        <v>212</v>
      </c>
      <c r="J109" s="320" t="s">
        <v>200</v>
      </c>
    </row>
    <row r="110" spans="1:11" ht="54" customHeight="1" x14ac:dyDescent="0.25">
      <c r="A110" s="82"/>
      <c r="B110" s="82"/>
      <c r="C110" s="21"/>
      <c r="D110" s="143"/>
      <c r="E110" s="120" t="s">
        <v>288</v>
      </c>
      <c r="F110" s="323" t="s">
        <v>289</v>
      </c>
      <c r="G110" s="332" t="s">
        <v>290</v>
      </c>
      <c r="H110" s="1328"/>
      <c r="I110" s="322" t="s">
        <v>212</v>
      </c>
      <c r="J110" s="320" t="s">
        <v>200</v>
      </c>
    </row>
    <row r="111" spans="1:11" ht="78.75" customHeight="1" x14ac:dyDescent="0.25">
      <c r="A111" s="82"/>
      <c r="B111" s="82"/>
      <c r="C111" s="21"/>
      <c r="D111" s="143"/>
      <c r="E111" s="120" t="s">
        <v>291</v>
      </c>
      <c r="F111" s="93" t="s">
        <v>217</v>
      </c>
      <c r="G111" s="332" t="s">
        <v>292</v>
      </c>
      <c r="H111" s="343" t="s">
        <v>1875</v>
      </c>
      <c r="I111" s="319" t="s">
        <v>220</v>
      </c>
      <c r="J111" s="320" t="s">
        <v>200</v>
      </c>
    </row>
    <row r="112" spans="1:11" ht="66" customHeight="1" x14ac:dyDescent="0.25">
      <c r="A112" s="82"/>
      <c r="B112" s="82"/>
      <c r="C112" s="21"/>
      <c r="D112" s="143"/>
      <c r="E112" s="120" t="s">
        <v>293</v>
      </c>
      <c r="F112" s="323" t="s">
        <v>294</v>
      </c>
      <c r="G112" s="323" t="s">
        <v>295</v>
      </c>
      <c r="H112" s="343"/>
      <c r="I112" s="319" t="s">
        <v>220</v>
      </c>
      <c r="J112" s="320" t="s">
        <v>200</v>
      </c>
    </row>
    <row r="113" spans="1:10" ht="105" customHeight="1" x14ac:dyDescent="0.25">
      <c r="A113" s="20"/>
      <c r="B113" s="20"/>
      <c r="C113" s="29"/>
      <c r="D113" s="181"/>
      <c r="E113" s="335" t="s">
        <v>296</v>
      </c>
      <c r="F113" s="322" t="s">
        <v>297</v>
      </c>
      <c r="G113" s="322" t="s">
        <v>298</v>
      </c>
      <c r="H113" s="22" t="s">
        <v>299</v>
      </c>
      <c r="I113" s="322" t="s">
        <v>1847</v>
      </c>
      <c r="J113" s="322" t="s">
        <v>94</v>
      </c>
    </row>
    <row r="114" spans="1:10" ht="50.25" customHeight="1" x14ac:dyDescent="0.25">
      <c r="A114" s="82"/>
      <c r="B114" s="82"/>
      <c r="C114" s="21"/>
      <c r="D114" s="143"/>
      <c r="E114" s="119" t="s">
        <v>300</v>
      </c>
      <c r="F114" s="1407"/>
      <c r="G114" s="1408"/>
      <c r="H114" s="343"/>
      <c r="I114" s="319"/>
      <c r="J114" s="320"/>
    </row>
    <row r="115" spans="1:10" ht="30.75" customHeight="1" x14ac:dyDescent="0.25">
      <c r="A115" s="82"/>
      <c r="B115" s="82"/>
      <c r="C115" s="21"/>
      <c r="D115" s="143"/>
      <c r="E115" s="119" t="s">
        <v>220</v>
      </c>
      <c r="F115" s="1407"/>
      <c r="G115" s="1408"/>
      <c r="H115" s="343"/>
      <c r="I115" s="319"/>
      <c r="J115" s="320"/>
    </row>
    <row r="116" spans="1:10" ht="60" customHeight="1" x14ac:dyDescent="0.25">
      <c r="A116" s="82"/>
      <c r="B116" s="82"/>
      <c r="C116" s="21"/>
      <c r="D116" s="143"/>
      <c r="E116" s="120" t="s">
        <v>301</v>
      </c>
      <c r="F116" s="323" t="s">
        <v>302</v>
      </c>
      <c r="G116" s="323" t="s">
        <v>303</v>
      </c>
      <c r="H116" s="1324" t="s">
        <v>1878</v>
      </c>
      <c r="I116" s="319" t="s">
        <v>220</v>
      </c>
      <c r="J116" s="320" t="s">
        <v>200</v>
      </c>
    </row>
    <row r="117" spans="1:10" ht="53.25" customHeight="1" x14ac:dyDescent="0.25">
      <c r="A117" s="82"/>
      <c r="B117" s="82"/>
      <c r="C117" s="21"/>
      <c r="D117" s="143"/>
      <c r="E117" s="120" t="s">
        <v>304</v>
      </c>
      <c r="F117" s="323" t="s">
        <v>305</v>
      </c>
      <c r="G117" s="323" t="s">
        <v>306</v>
      </c>
      <c r="H117" s="1326"/>
      <c r="I117" s="319" t="s">
        <v>220</v>
      </c>
      <c r="J117" s="320" t="s">
        <v>200</v>
      </c>
    </row>
    <row r="118" spans="1:10" ht="40.5" customHeight="1" x14ac:dyDescent="0.25">
      <c r="A118" s="82"/>
      <c r="B118" s="82"/>
      <c r="C118" s="21"/>
      <c r="D118" s="143"/>
      <c r="E118" s="120" t="s">
        <v>307</v>
      </c>
      <c r="F118" s="323" t="s">
        <v>308</v>
      </c>
      <c r="G118" s="323" t="s">
        <v>309</v>
      </c>
      <c r="H118" s="1325"/>
      <c r="I118" s="319" t="s">
        <v>220</v>
      </c>
      <c r="J118" s="320" t="s">
        <v>200</v>
      </c>
    </row>
    <row r="119" spans="1:10" ht="32.25" customHeight="1" x14ac:dyDescent="0.25">
      <c r="A119" s="82"/>
      <c r="B119" s="82"/>
      <c r="C119" s="21"/>
      <c r="D119" s="143"/>
      <c r="E119" s="119" t="s">
        <v>310</v>
      </c>
      <c r="F119" s="1407"/>
      <c r="G119" s="1408"/>
      <c r="H119" s="343"/>
      <c r="I119" s="319"/>
      <c r="J119" s="320"/>
    </row>
    <row r="120" spans="1:10" ht="35.25" customHeight="1" x14ac:dyDescent="0.25">
      <c r="A120" s="82"/>
      <c r="B120" s="82"/>
      <c r="C120" s="21"/>
      <c r="D120" s="143"/>
      <c r="E120" s="120" t="s">
        <v>311</v>
      </c>
      <c r="F120" s="93" t="s">
        <v>217</v>
      </c>
      <c r="G120" s="323" t="s">
        <v>312</v>
      </c>
      <c r="H120" s="343"/>
      <c r="I120" s="322" t="s">
        <v>212</v>
      </c>
      <c r="J120" s="320" t="s">
        <v>200</v>
      </c>
    </row>
    <row r="121" spans="1:10" ht="30.75" customHeight="1" x14ac:dyDescent="0.25">
      <c r="A121" s="82"/>
      <c r="B121" s="82"/>
      <c r="C121" s="21"/>
      <c r="D121" s="143"/>
      <c r="E121" s="119" t="s">
        <v>313</v>
      </c>
      <c r="F121" s="1407"/>
      <c r="G121" s="1408"/>
      <c r="H121" s="343"/>
      <c r="I121" s="319"/>
      <c r="J121" s="320"/>
    </row>
    <row r="122" spans="1:10" ht="77.25" customHeight="1" x14ac:dyDescent="0.25">
      <c r="A122" s="82"/>
      <c r="B122" s="82"/>
      <c r="C122" s="21"/>
      <c r="D122" s="337"/>
      <c r="E122" s="86" t="s">
        <v>314</v>
      </c>
      <c r="F122" s="123" t="s">
        <v>315</v>
      </c>
      <c r="G122" s="123" t="s">
        <v>316</v>
      </c>
      <c r="H122" s="359"/>
      <c r="I122" s="319" t="s">
        <v>220</v>
      </c>
      <c r="J122" s="320" t="s">
        <v>200</v>
      </c>
    </row>
    <row r="123" spans="1:10" ht="69.75" customHeight="1" x14ac:dyDescent="0.25">
      <c r="A123" s="20"/>
      <c r="B123" s="20"/>
      <c r="C123" s="29"/>
      <c r="D123" s="181"/>
      <c r="E123" s="335" t="s">
        <v>317</v>
      </c>
      <c r="F123" s="85" t="s">
        <v>217</v>
      </c>
      <c r="G123" s="322" t="s">
        <v>318</v>
      </c>
      <c r="H123" s="22"/>
      <c r="I123" s="319" t="s">
        <v>319</v>
      </c>
      <c r="J123" s="322" t="s">
        <v>94</v>
      </c>
    </row>
    <row r="124" spans="1:10" ht="78" customHeight="1" x14ac:dyDescent="0.25">
      <c r="A124" s="20"/>
      <c r="B124" s="20"/>
      <c r="C124" s="29"/>
      <c r="D124" s="181"/>
      <c r="E124" s="335" t="s">
        <v>320</v>
      </c>
      <c r="F124" s="85" t="s">
        <v>321</v>
      </c>
      <c r="G124" s="319" t="s">
        <v>322</v>
      </c>
      <c r="H124" s="22" t="s">
        <v>323</v>
      </c>
      <c r="I124" s="319" t="s">
        <v>319</v>
      </c>
      <c r="J124" s="322" t="s">
        <v>94</v>
      </c>
    </row>
    <row r="125" spans="1:10" ht="49.5" customHeight="1" x14ac:dyDescent="0.25">
      <c r="A125" s="20"/>
      <c r="B125" s="20"/>
      <c r="C125" s="29"/>
      <c r="D125" s="181"/>
      <c r="E125" s="343" t="s">
        <v>324</v>
      </c>
      <c r="F125" s="124" t="s">
        <v>325</v>
      </c>
      <c r="G125" s="319" t="s">
        <v>326</v>
      </c>
      <c r="H125" s="22"/>
      <c r="I125" s="319"/>
      <c r="J125" s="322" t="s">
        <v>266</v>
      </c>
    </row>
    <row r="126" spans="1:10" ht="44.25" customHeight="1" x14ac:dyDescent="0.25">
      <c r="A126" s="20"/>
      <c r="B126" s="20"/>
      <c r="C126" s="29"/>
      <c r="D126" s="181"/>
      <c r="E126" s="125" t="s">
        <v>328</v>
      </c>
      <c r="F126" s="126">
        <v>0.26</v>
      </c>
      <c r="G126" s="126">
        <v>0.62</v>
      </c>
      <c r="H126" s="22"/>
      <c r="I126" s="319"/>
      <c r="J126" s="322" t="s">
        <v>266</v>
      </c>
    </row>
    <row r="127" spans="1:10" ht="69" customHeight="1" x14ac:dyDescent="0.25">
      <c r="A127" s="20"/>
      <c r="B127" s="20"/>
      <c r="C127" s="29"/>
      <c r="D127" s="181"/>
      <c r="E127" s="125" t="s">
        <v>329</v>
      </c>
      <c r="F127" s="126">
        <v>0.3</v>
      </c>
      <c r="G127" s="126">
        <v>0.6</v>
      </c>
      <c r="H127" s="22"/>
      <c r="I127" s="319"/>
      <c r="J127" s="322" t="s">
        <v>266</v>
      </c>
    </row>
    <row r="128" spans="1:10" ht="70.5" customHeight="1" x14ac:dyDescent="0.25">
      <c r="A128" s="20" t="s">
        <v>330</v>
      </c>
      <c r="B128" s="20" t="s">
        <v>331</v>
      </c>
      <c r="C128" s="21" t="s">
        <v>332</v>
      </c>
      <c r="D128" s="337" t="s">
        <v>333</v>
      </c>
      <c r="E128" s="329" t="s">
        <v>334</v>
      </c>
      <c r="F128" s="332" t="s">
        <v>335</v>
      </c>
      <c r="G128" s="332" t="s">
        <v>336</v>
      </c>
      <c r="H128" s="329" t="s">
        <v>337</v>
      </c>
      <c r="I128" s="319" t="s">
        <v>1848</v>
      </c>
      <c r="J128" s="319" t="s">
        <v>339</v>
      </c>
    </row>
    <row r="129" spans="1:10" ht="51.75" customHeight="1" x14ac:dyDescent="0.25">
      <c r="A129" s="19"/>
      <c r="B129" s="19"/>
      <c r="C129" s="1409" t="s">
        <v>340</v>
      </c>
      <c r="D129" s="1410" t="s">
        <v>341</v>
      </c>
      <c r="E129" s="1411" t="s">
        <v>342</v>
      </c>
      <c r="F129" s="1412">
        <v>0.6</v>
      </c>
      <c r="G129" s="1412">
        <v>0.8</v>
      </c>
      <c r="H129" s="329" t="s">
        <v>343</v>
      </c>
      <c r="I129" s="319" t="s">
        <v>1848</v>
      </c>
      <c r="J129" s="319" t="s">
        <v>339</v>
      </c>
    </row>
    <row r="130" spans="1:10" ht="57" customHeight="1" x14ac:dyDescent="0.25">
      <c r="A130" s="19"/>
      <c r="B130" s="19"/>
      <c r="C130" s="1409"/>
      <c r="D130" s="1410"/>
      <c r="E130" s="1411"/>
      <c r="F130" s="1412"/>
      <c r="G130" s="1412"/>
      <c r="H130" s="114" t="s">
        <v>344</v>
      </c>
      <c r="I130" s="319" t="s">
        <v>1848</v>
      </c>
      <c r="J130" s="319" t="s">
        <v>339</v>
      </c>
    </row>
    <row r="131" spans="1:10" ht="74.25" customHeight="1" x14ac:dyDescent="0.25">
      <c r="A131" s="19"/>
      <c r="B131" s="19"/>
      <c r="C131" s="26" t="s">
        <v>345</v>
      </c>
      <c r="D131" s="181" t="s">
        <v>346</v>
      </c>
      <c r="E131" s="127" t="s">
        <v>347</v>
      </c>
      <c r="F131" s="128" t="s">
        <v>348</v>
      </c>
      <c r="G131" s="128" t="s">
        <v>349</v>
      </c>
      <c r="H131" s="22" t="s">
        <v>1879</v>
      </c>
      <c r="I131" s="319" t="s">
        <v>1848</v>
      </c>
      <c r="J131" s="319" t="s">
        <v>339</v>
      </c>
    </row>
    <row r="132" spans="1:10" ht="56.25" customHeight="1" x14ac:dyDescent="0.25">
      <c r="A132" s="19"/>
      <c r="B132" s="19"/>
      <c r="C132" s="26"/>
      <c r="D132" s="181"/>
      <c r="E132" s="127"/>
      <c r="F132" s="128"/>
      <c r="G132" s="128"/>
      <c r="H132" s="22" t="s">
        <v>1880</v>
      </c>
      <c r="I132" s="319" t="s">
        <v>1848</v>
      </c>
      <c r="J132" s="319" t="s">
        <v>339</v>
      </c>
    </row>
    <row r="133" spans="1:10" ht="64.5" customHeight="1" x14ac:dyDescent="0.25">
      <c r="A133" s="19"/>
      <c r="B133" s="19"/>
      <c r="C133" s="26"/>
      <c r="D133" s="181"/>
      <c r="E133" s="127"/>
      <c r="F133" s="128"/>
      <c r="G133" s="128"/>
      <c r="H133" s="329" t="s">
        <v>1881</v>
      </c>
      <c r="I133" s="319" t="s">
        <v>353</v>
      </c>
      <c r="J133" s="319" t="s">
        <v>339</v>
      </c>
    </row>
    <row r="134" spans="1:10" ht="59.25" customHeight="1" x14ac:dyDescent="0.25">
      <c r="A134" s="20"/>
      <c r="B134" s="20"/>
      <c r="C134" s="89"/>
      <c r="D134" s="360"/>
      <c r="E134" s="361"/>
      <c r="F134" s="362"/>
      <c r="G134" s="363"/>
      <c r="H134" s="329" t="s">
        <v>1882</v>
      </c>
      <c r="I134" s="319" t="s">
        <v>353</v>
      </c>
      <c r="J134" s="319" t="s">
        <v>339</v>
      </c>
    </row>
    <row r="135" spans="1:10" s="18" customFormat="1" ht="57" customHeight="1" x14ac:dyDescent="0.25">
      <c r="A135" s="20"/>
      <c r="B135" s="20"/>
      <c r="C135" s="46"/>
      <c r="D135" s="364"/>
      <c r="E135" s="365"/>
      <c r="F135" s="366"/>
      <c r="G135" s="367"/>
      <c r="H135" s="328" t="s">
        <v>356</v>
      </c>
      <c r="I135" s="323" t="s">
        <v>353</v>
      </c>
      <c r="J135" s="323" t="s">
        <v>339</v>
      </c>
    </row>
    <row r="136" spans="1:10" s="18" customFormat="1" ht="54" customHeight="1" x14ac:dyDescent="0.25">
      <c r="A136" s="82"/>
      <c r="B136" s="82"/>
      <c r="C136" s="21"/>
      <c r="D136" s="337"/>
      <c r="E136" s="328" t="s">
        <v>357</v>
      </c>
      <c r="F136" s="323" t="s">
        <v>358</v>
      </c>
      <c r="G136" s="323" t="s">
        <v>359</v>
      </c>
      <c r="H136" s="21" t="s">
        <v>354</v>
      </c>
      <c r="I136" s="323" t="s">
        <v>353</v>
      </c>
      <c r="J136" s="323" t="s">
        <v>360</v>
      </c>
    </row>
    <row r="137" spans="1:10" ht="84.75" customHeight="1" x14ac:dyDescent="0.25">
      <c r="A137" s="29"/>
      <c r="B137" s="29"/>
      <c r="C137" s="22" t="s">
        <v>361</v>
      </c>
      <c r="D137" s="143" t="s">
        <v>362</v>
      </c>
      <c r="E137" s="22" t="s">
        <v>363</v>
      </c>
      <c r="F137" s="326" t="s">
        <v>364</v>
      </c>
      <c r="G137" s="130" t="s">
        <v>365</v>
      </c>
      <c r="H137" s="41" t="s">
        <v>366</v>
      </c>
      <c r="I137" s="322" t="s">
        <v>367</v>
      </c>
      <c r="J137" s="322" t="s">
        <v>368</v>
      </c>
    </row>
    <row r="138" spans="1:10" ht="68.25" customHeight="1" x14ac:dyDescent="0.25">
      <c r="A138" s="29"/>
      <c r="B138" s="29"/>
      <c r="C138" s="29"/>
      <c r="D138" s="181"/>
      <c r="E138" s="22" t="s">
        <v>369</v>
      </c>
      <c r="F138" s="326" t="s">
        <v>370</v>
      </c>
      <c r="G138" s="326" t="s">
        <v>371</v>
      </c>
      <c r="H138" s="131" t="s">
        <v>372</v>
      </c>
      <c r="I138" s="322" t="s">
        <v>367</v>
      </c>
      <c r="J138" s="322" t="s">
        <v>368</v>
      </c>
    </row>
    <row r="139" spans="1:10" ht="99.75" customHeight="1" x14ac:dyDescent="0.25">
      <c r="A139" s="29"/>
      <c r="B139" s="29"/>
      <c r="C139" s="29"/>
      <c r="D139" s="181"/>
      <c r="E139" s="22" t="s">
        <v>373</v>
      </c>
      <c r="F139" s="326" t="s">
        <v>374</v>
      </c>
      <c r="G139" s="326" t="s">
        <v>375</v>
      </c>
      <c r="H139" s="1318" t="s">
        <v>376</v>
      </c>
      <c r="I139" s="322" t="s">
        <v>367</v>
      </c>
      <c r="J139" s="322" t="s">
        <v>368</v>
      </c>
    </row>
    <row r="140" spans="1:10" ht="53.25" customHeight="1" x14ac:dyDescent="0.25">
      <c r="A140" s="29"/>
      <c r="B140" s="29"/>
      <c r="C140" s="29"/>
      <c r="D140" s="181"/>
      <c r="E140" s="329" t="s">
        <v>377</v>
      </c>
      <c r="F140" s="132" t="s">
        <v>217</v>
      </c>
      <c r="G140" s="132" t="s">
        <v>217</v>
      </c>
      <c r="H140" s="1320"/>
      <c r="I140" s="322" t="s">
        <v>367</v>
      </c>
      <c r="J140" s="322" t="s">
        <v>368</v>
      </c>
    </row>
    <row r="141" spans="1:10" ht="69" customHeight="1" x14ac:dyDescent="0.25">
      <c r="A141" s="20"/>
      <c r="B141" s="20"/>
      <c r="C141" s="96"/>
      <c r="D141" s="341"/>
      <c r="E141" s="133" t="s">
        <v>378</v>
      </c>
      <c r="F141" s="1400"/>
      <c r="G141" s="1401"/>
      <c r="H141" s="1401"/>
      <c r="I141" s="1401"/>
      <c r="J141" s="1402"/>
    </row>
    <row r="142" spans="1:10" ht="57.75" customHeight="1" x14ac:dyDescent="0.25">
      <c r="A142" s="134"/>
      <c r="B142" s="134"/>
      <c r="C142" s="96"/>
      <c r="D142" s="341"/>
      <c r="E142" s="135" t="s">
        <v>379</v>
      </c>
      <c r="F142" s="136" t="s">
        <v>380</v>
      </c>
      <c r="G142" s="136" t="s">
        <v>381</v>
      </c>
      <c r="H142" s="1335" t="s">
        <v>382</v>
      </c>
      <c r="I142" s="1404" t="s">
        <v>1849</v>
      </c>
      <c r="J142" s="1404" t="s">
        <v>384</v>
      </c>
    </row>
    <row r="143" spans="1:10" ht="63" customHeight="1" x14ac:dyDescent="0.25">
      <c r="A143" s="134"/>
      <c r="B143" s="134"/>
      <c r="C143" s="96"/>
      <c r="D143" s="341"/>
      <c r="E143" s="135" t="s">
        <v>385</v>
      </c>
      <c r="F143" s="34">
        <v>0</v>
      </c>
      <c r="G143" s="34">
        <v>0.6</v>
      </c>
      <c r="H143" s="1403"/>
      <c r="I143" s="1405"/>
      <c r="J143" s="1405"/>
    </row>
    <row r="144" spans="1:10" ht="82.5" customHeight="1" x14ac:dyDescent="0.25">
      <c r="A144" s="134"/>
      <c r="B144" s="134"/>
      <c r="C144" s="96"/>
      <c r="D144" s="341"/>
      <c r="E144" s="135" t="s">
        <v>386</v>
      </c>
      <c r="F144" s="34">
        <v>0</v>
      </c>
      <c r="G144" s="34">
        <v>0.05</v>
      </c>
      <c r="H144" s="1403"/>
      <c r="I144" s="1405"/>
      <c r="J144" s="1405"/>
    </row>
    <row r="145" spans="1:12" ht="55.5" customHeight="1" x14ac:dyDescent="0.25">
      <c r="A145" s="134"/>
      <c r="B145" s="134"/>
      <c r="C145" s="96"/>
      <c r="D145" s="341"/>
      <c r="E145" s="135" t="s">
        <v>387</v>
      </c>
      <c r="F145" s="136" t="s">
        <v>388</v>
      </c>
      <c r="G145" s="136" t="s">
        <v>389</v>
      </c>
      <c r="H145" s="1336"/>
      <c r="I145" s="1406"/>
      <c r="J145" s="1406"/>
    </row>
    <row r="146" spans="1:12" ht="80.25" customHeight="1" x14ac:dyDescent="0.25">
      <c r="A146" s="20"/>
      <c r="B146" s="20"/>
      <c r="C146" s="21"/>
      <c r="D146" s="337"/>
      <c r="E146" s="329" t="s">
        <v>390</v>
      </c>
      <c r="F146" s="324" t="s">
        <v>391</v>
      </c>
      <c r="G146" s="324" t="s">
        <v>392</v>
      </c>
      <c r="H146" s="329" t="s">
        <v>393</v>
      </c>
      <c r="I146" s="319" t="s">
        <v>353</v>
      </c>
      <c r="J146" s="319" t="s">
        <v>339</v>
      </c>
    </row>
    <row r="147" spans="1:12" s="18" customFormat="1" ht="66.75" customHeight="1" x14ac:dyDescent="0.25">
      <c r="A147" s="21" t="s">
        <v>394</v>
      </c>
      <c r="B147" s="21" t="s">
        <v>395</v>
      </c>
      <c r="C147" s="21" t="s">
        <v>396</v>
      </c>
      <c r="D147" s="143" t="s">
        <v>333</v>
      </c>
      <c r="E147" s="23" t="s">
        <v>397</v>
      </c>
      <c r="F147" s="325" t="s">
        <v>398</v>
      </c>
      <c r="G147" s="325" t="s">
        <v>399</v>
      </c>
      <c r="H147" s="139" t="s">
        <v>372</v>
      </c>
      <c r="I147" s="332" t="s">
        <v>367</v>
      </c>
      <c r="J147" s="332" t="s">
        <v>368</v>
      </c>
    </row>
    <row r="148" spans="1:12" ht="100.5" customHeight="1" x14ac:dyDescent="0.25">
      <c r="A148" s="29"/>
      <c r="B148" s="29"/>
      <c r="C148" s="29"/>
      <c r="D148" s="181"/>
      <c r="E148" s="22" t="s">
        <v>400</v>
      </c>
      <c r="F148" s="326" t="s">
        <v>401</v>
      </c>
      <c r="G148" s="326" t="s">
        <v>402</v>
      </c>
      <c r="H148" s="41" t="s">
        <v>376</v>
      </c>
      <c r="I148" s="322" t="s">
        <v>367</v>
      </c>
      <c r="J148" s="322" t="s">
        <v>368</v>
      </c>
    </row>
    <row r="149" spans="1:12" ht="82.5" customHeight="1" x14ac:dyDescent="0.25">
      <c r="A149" s="29"/>
      <c r="B149" s="29"/>
      <c r="C149" s="29"/>
      <c r="D149" s="181"/>
      <c r="E149" s="22" t="s">
        <v>403</v>
      </c>
      <c r="F149" s="326" t="s">
        <v>404</v>
      </c>
      <c r="G149" s="130" t="s">
        <v>405</v>
      </c>
      <c r="H149" s="41" t="s">
        <v>366</v>
      </c>
      <c r="I149" s="322" t="s">
        <v>367</v>
      </c>
      <c r="J149" s="322" t="s">
        <v>368</v>
      </c>
    </row>
    <row r="150" spans="1:12" ht="65.25" customHeight="1" x14ac:dyDescent="0.25">
      <c r="A150" s="29"/>
      <c r="B150" s="29"/>
      <c r="C150" s="29" t="s">
        <v>406</v>
      </c>
      <c r="D150" s="181" t="s">
        <v>407</v>
      </c>
      <c r="E150" s="335" t="s">
        <v>408</v>
      </c>
      <c r="F150" s="322">
        <v>1</v>
      </c>
      <c r="G150" s="322">
        <v>2</v>
      </c>
      <c r="H150" s="1393" t="s">
        <v>409</v>
      </c>
      <c r="I150" s="322" t="s">
        <v>367</v>
      </c>
      <c r="J150" s="322" t="s">
        <v>368</v>
      </c>
    </row>
    <row r="151" spans="1:12" s="18" customFormat="1" ht="54" customHeight="1" x14ac:dyDescent="0.25">
      <c r="A151" s="29"/>
      <c r="B151" s="29"/>
      <c r="C151" s="29"/>
      <c r="D151" s="181"/>
      <c r="E151" s="21" t="s">
        <v>410</v>
      </c>
      <c r="F151" s="332" t="s">
        <v>411</v>
      </c>
      <c r="G151" s="332" t="s">
        <v>412</v>
      </c>
      <c r="H151" s="1393"/>
      <c r="I151" s="332" t="s">
        <v>367</v>
      </c>
      <c r="J151" s="332" t="s">
        <v>368</v>
      </c>
    </row>
    <row r="152" spans="1:12" ht="78.75" customHeight="1" x14ac:dyDescent="0.25">
      <c r="A152" s="22"/>
      <c r="B152" s="22"/>
      <c r="C152" s="22"/>
      <c r="D152" s="143"/>
      <c r="E152" s="22" t="s">
        <v>413</v>
      </c>
      <c r="F152" s="326" t="s">
        <v>411</v>
      </c>
      <c r="G152" s="326" t="s">
        <v>414</v>
      </c>
      <c r="H152" s="41" t="s">
        <v>409</v>
      </c>
      <c r="I152" s="322" t="s">
        <v>367</v>
      </c>
      <c r="J152" s="322" t="s">
        <v>368</v>
      </c>
    </row>
    <row r="153" spans="1:12" ht="75.75" customHeight="1" x14ac:dyDescent="0.25">
      <c r="A153" s="20" t="s">
        <v>415</v>
      </c>
      <c r="B153" s="20" t="s">
        <v>416</v>
      </c>
      <c r="C153" s="22" t="s">
        <v>417</v>
      </c>
      <c r="D153" s="143" t="s">
        <v>418</v>
      </c>
      <c r="E153" s="140" t="s">
        <v>419</v>
      </c>
      <c r="F153" s="112" t="s">
        <v>420</v>
      </c>
      <c r="G153" s="52" t="s">
        <v>421</v>
      </c>
      <c r="H153" s="41" t="s">
        <v>1883</v>
      </c>
      <c r="I153" s="322" t="s">
        <v>422</v>
      </c>
      <c r="J153" s="322" t="s">
        <v>423</v>
      </c>
    </row>
    <row r="154" spans="1:12" ht="69" customHeight="1" x14ac:dyDescent="0.25">
      <c r="A154" s="19"/>
      <c r="B154" s="19"/>
      <c r="C154" s="22" t="s">
        <v>424</v>
      </c>
      <c r="D154" s="143" t="s">
        <v>425</v>
      </c>
      <c r="E154" s="23" t="s">
        <v>426</v>
      </c>
      <c r="F154" s="112" t="s">
        <v>420</v>
      </c>
      <c r="G154" s="333" t="s">
        <v>427</v>
      </c>
      <c r="H154" s="1339" t="s">
        <v>428</v>
      </c>
      <c r="I154" s="1369" t="s">
        <v>422</v>
      </c>
      <c r="J154" s="1369" t="s">
        <v>423</v>
      </c>
      <c r="L154" s="141"/>
    </row>
    <row r="155" spans="1:12" ht="60.75" customHeight="1" x14ac:dyDescent="0.25">
      <c r="A155" s="19"/>
      <c r="B155" s="19"/>
      <c r="C155" s="22" t="s">
        <v>429</v>
      </c>
      <c r="D155" s="143" t="s">
        <v>430</v>
      </c>
      <c r="E155" s="23" t="s">
        <v>431</v>
      </c>
      <c r="F155" s="112" t="s">
        <v>420</v>
      </c>
      <c r="G155" s="34">
        <v>1</v>
      </c>
      <c r="H155" s="1340"/>
      <c r="I155" s="1369"/>
      <c r="J155" s="1369"/>
    </row>
    <row r="156" spans="1:12" ht="89.25" customHeight="1" x14ac:dyDescent="0.25">
      <c r="A156" s="19"/>
      <c r="B156" s="19"/>
      <c r="C156" s="22" t="s">
        <v>432</v>
      </c>
      <c r="D156" s="143" t="s">
        <v>433</v>
      </c>
      <c r="E156" s="23" t="s">
        <v>434</v>
      </c>
      <c r="F156" s="112" t="s">
        <v>420</v>
      </c>
      <c r="G156" s="52" t="s">
        <v>435</v>
      </c>
      <c r="H156" s="1340"/>
      <c r="I156" s="322" t="s">
        <v>422</v>
      </c>
      <c r="J156" s="322" t="s">
        <v>423</v>
      </c>
    </row>
    <row r="157" spans="1:12" ht="135.75" customHeight="1" x14ac:dyDescent="0.25">
      <c r="A157" s="19"/>
      <c r="B157" s="19"/>
      <c r="C157" s="29"/>
      <c r="D157" s="181"/>
      <c r="E157" s="23" t="s">
        <v>437</v>
      </c>
      <c r="F157" s="112" t="s">
        <v>420</v>
      </c>
      <c r="G157" s="52" t="s">
        <v>438</v>
      </c>
      <c r="H157" s="1341"/>
      <c r="I157" s="322" t="s">
        <v>422</v>
      </c>
      <c r="J157" s="322" t="s">
        <v>423</v>
      </c>
    </row>
    <row r="158" spans="1:12" ht="80.25" customHeight="1" x14ac:dyDescent="0.25">
      <c r="A158" s="19"/>
      <c r="B158" s="19"/>
      <c r="C158" s="29"/>
      <c r="D158" s="181"/>
      <c r="E158" s="23" t="s">
        <v>439</v>
      </c>
      <c r="F158" s="112" t="s">
        <v>420</v>
      </c>
      <c r="G158" s="65">
        <v>1</v>
      </c>
      <c r="H158" s="1318" t="s">
        <v>1883</v>
      </c>
      <c r="I158" s="322" t="s">
        <v>422</v>
      </c>
      <c r="J158" s="322" t="s">
        <v>423</v>
      </c>
    </row>
    <row r="159" spans="1:12" ht="154.5" customHeight="1" x14ac:dyDescent="0.25">
      <c r="A159" s="19"/>
      <c r="B159" s="19"/>
      <c r="C159" s="29"/>
      <c r="D159" s="181"/>
      <c r="E159" s="23" t="s">
        <v>440</v>
      </c>
      <c r="F159" s="112" t="s">
        <v>420</v>
      </c>
      <c r="G159" s="52" t="s">
        <v>441</v>
      </c>
      <c r="H159" s="1319"/>
      <c r="I159" s="322" t="s">
        <v>422</v>
      </c>
      <c r="J159" s="322" t="s">
        <v>423</v>
      </c>
    </row>
    <row r="160" spans="1:12" ht="107.25" customHeight="1" x14ac:dyDescent="0.25">
      <c r="A160" s="19"/>
      <c r="B160" s="19"/>
      <c r="C160" s="29"/>
      <c r="D160" s="181"/>
      <c r="E160" s="23" t="s">
        <v>442</v>
      </c>
      <c r="F160" s="112" t="s">
        <v>420</v>
      </c>
      <c r="G160" s="319" t="s">
        <v>441</v>
      </c>
      <c r="H160" s="1319"/>
      <c r="I160" s="322" t="s">
        <v>422</v>
      </c>
      <c r="J160" s="322" t="s">
        <v>423</v>
      </c>
    </row>
    <row r="161" spans="1:10" ht="110.25" customHeight="1" x14ac:dyDescent="0.25">
      <c r="A161" s="19"/>
      <c r="B161" s="19"/>
      <c r="C161" s="29"/>
      <c r="D161" s="181"/>
      <c r="E161" s="23" t="s">
        <v>443</v>
      </c>
      <c r="F161" s="112" t="s">
        <v>420</v>
      </c>
      <c r="G161" s="65">
        <v>1</v>
      </c>
      <c r="H161" s="1319"/>
      <c r="I161" s="322" t="s">
        <v>422</v>
      </c>
      <c r="J161" s="322" t="s">
        <v>423</v>
      </c>
    </row>
    <row r="162" spans="1:10" s="18" customFormat="1" ht="84.75" customHeight="1" x14ac:dyDescent="0.25">
      <c r="A162" s="19"/>
      <c r="B162" s="19"/>
      <c r="C162" s="29"/>
      <c r="D162" s="181"/>
      <c r="E162" s="41" t="s">
        <v>444</v>
      </c>
      <c r="F162" s="142" t="s">
        <v>420</v>
      </c>
      <c r="G162" s="110" t="s">
        <v>441</v>
      </c>
      <c r="H162" s="1319"/>
      <c r="I162" s="332" t="s">
        <v>422</v>
      </c>
      <c r="J162" s="332" t="s">
        <v>423</v>
      </c>
    </row>
    <row r="163" spans="1:10" ht="77.25" customHeight="1" x14ac:dyDescent="0.25">
      <c r="A163" s="20"/>
      <c r="B163" s="20"/>
      <c r="C163" s="22"/>
      <c r="D163" s="143"/>
      <c r="E163" s="23" t="s">
        <v>445</v>
      </c>
      <c r="F163" s="112" t="s">
        <v>420</v>
      </c>
      <c r="G163" s="65">
        <v>1</v>
      </c>
      <c r="H163" s="1319"/>
      <c r="I163" s="322" t="s">
        <v>422</v>
      </c>
      <c r="J163" s="322" t="s">
        <v>423</v>
      </c>
    </row>
    <row r="164" spans="1:10" ht="57.75" customHeight="1" x14ac:dyDescent="0.25">
      <c r="A164" s="20"/>
      <c r="B164" s="20"/>
      <c r="C164" s="22"/>
      <c r="D164" s="143"/>
      <c r="E164" s="23" t="s">
        <v>446</v>
      </c>
      <c r="F164" s="319" t="s">
        <v>420</v>
      </c>
      <c r="G164" s="34">
        <v>1</v>
      </c>
      <c r="H164" s="1320"/>
      <c r="I164" s="322" t="s">
        <v>422</v>
      </c>
      <c r="J164" s="322" t="s">
        <v>423</v>
      </c>
    </row>
    <row r="165" spans="1:10" ht="111.75" customHeight="1" x14ac:dyDescent="0.25">
      <c r="A165" s="20"/>
      <c r="B165" s="20"/>
      <c r="C165" s="22"/>
      <c r="D165" s="145"/>
      <c r="E165" s="23" t="s">
        <v>447</v>
      </c>
      <c r="F165" s="319" t="s">
        <v>420</v>
      </c>
      <c r="G165" s="34">
        <v>1</v>
      </c>
      <c r="H165" s="418" t="s">
        <v>1884</v>
      </c>
      <c r="I165" s="322" t="s">
        <v>422</v>
      </c>
      <c r="J165" s="322" t="s">
        <v>423</v>
      </c>
    </row>
    <row r="166" spans="1:10" ht="74.25" customHeight="1" x14ac:dyDescent="0.25">
      <c r="A166" s="72" t="s">
        <v>448</v>
      </c>
      <c r="B166" s="72" t="s">
        <v>449</v>
      </c>
      <c r="C166" s="343" t="s">
        <v>450</v>
      </c>
      <c r="D166" s="337" t="s">
        <v>451</v>
      </c>
      <c r="E166" s="328" t="s">
        <v>452</v>
      </c>
      <c r="F166" s="147" t="s">
        <v>453</v>
      </c>
      <c r="G166" s="34">
        <v>1</v>
      </c>
      <c r="H166" s="1394" t="s">
        <v>454</v>
      </c>
      <c r="I166" s="332" t="s">
        <v>1850</v>
      </c>
      <c r="J166" s="332" t="s">
        <v>456</v>
      </c>
    </row>
    <row r="167" spans="1:10" ht="74.25" customHeight="1" x14ac:dyDescent="0.25">
      <c r="A167" s="66"/>
      <c r="B167" s="66"/>
      <c r="C167" s="21" t="s">
        <v>457</v>
      </c>
      <c r="D167" s="143" t="s">
        <v>458</v>
      </c>
      <c r="E167" s="328" t="s">
        <v>459</v>
      </c>
      <c r="F167" s="147" t="s">
        <v>460</v>
      </c>
      <c r="G167" s="34">
        <v>1</v>
      </c>
      <c r="H167" s="1395"/>
      <c r="I167" s="332" t="s">
        <v>1850</v>
      </c>
      <c r="J167" s="332" t="s">
        <v>456</v>
      </c>
    </row>
    <row r="168" spans="1:10" ht="81.75" customHeight="1" x14ac:dyDescent="0.25">
      <c r="A168" s="66"/>
      <c r="B168" s="66"/>
      <c r="C168" s="343" t="s">
        <v>461</v>
      </c>
      <c r="D168" s="337" t="s">
        <v>462</v>
      </c>
      <c r="E168" s="328" t="s">
        <v>463</v>
      </c>
      <c r="F168" s="319" t="s">
        <v>464</v>
      </c>
      <c r="G168" s="34">
        <v>1</v>
      </c>
      <c r="H168" s="1395"/>
      <c r="I168" s="332" t="s">
        <v>1850</v>
      </c>
      <c r="J168" s="332" t="s">
        <v>456</v>
      </c>
    </row>
    <row r="169" spans="1:10" ht="66.75" customHeight="1" x14ac:dyDescent="0.25">
      <c r="A169" s="66"/>
      <c r="B169" s="66"/>
      <c r="C169" s="148"/>
      <c r="D169" s="337"/>
      <c r="E169" s="328" t="s">
        <v>465</v>
      </c>
      <c r="F169" s="319" t="s">
        <v>217</v>
      </c>
      <c r="G169" s="34">
        <v>1</v>
      </c>
      <c r="H169" s="1396"/>
      <c r="I169" s="332" t="s">
        <v>1850</v>
      </c>
      <c r="J169" s="332" t="s">
        <v>456</v>
      </c>
    </row>
    <row r="170" spans="1:10" ht="41.25" customHeight="1" x14ac:dyDescent="0.25">
      <c r="A170" s="66"/>
      <c r="B170" s="66"/>
      <c r="C170" s="148"/>
      <c r="D170" s="337"/>
      <c r="E170" s="328" t="s">
        <v>466</v>
      </c>
      <c r="F170" s="319" t="s">
        <v>217</v>
      </c>
      <c r="G170" s="319" t="s">
        <v>467</v>
      </c>
      <c r="H170" s="1394" t="s">
        <v>468</v>
      </c>
      <c r="I170" s="332" t="s">
        <v>1850</v>
      </c>
      <c r="J170" s="332" t="s">
        <v>456</v>
      </c>
    </row>
    <row r="171" spans="1:10" ht="55.5" customHeight="1" x14ac:dyDescent="0.25">
      <c r="A171" s="66"/>
      <c r="B171" s="66"/>
      <c r="C171" s="148"/>
      <c r="D171" s="337"/>
      <c r="E171" s="328" t="s">
        <v>469</v>
      </c>
      <c r="F171" s="319" t="s">
        <v>217</v>
      </c>
      <c r="G171" s="319" t="s">
        <v>467</v>
      </c>
      <c r="H171" s="1395"/>
      <c r="I171" s="332" t="s">
        <v>1850</v>
      </c>
      <c r="J171" s="332" t="s">
        <v>456</v>
      </c>
    </row>
    <row r="172" spans="1:10" ht="82.5" customHeight="1" x14ac:dyDescent="0.25">
      <c r="A172" s="66"/>
      <c r="B172" s="66"/>
      <c r="C172" s="148"/>
      <c r="D172" s="337"/>
      <c r="E172" s="328" t="s">
        <v>470</v>
      </c>
      <c r="F172" s="319" t="s">
        <v>217</v>
      </c>
      <c r="G172" s="319" t="s">
        <v>217</v>
      </c>
      <c r="H172" s="1395"/>
      <c r="I172" s="332" t="s">
        <v>1850</v>
      </c>
      <c r="J172" s="332" t="s">
        <v>456</v>
      </c>
    </row>
    <row r="173" spans="1:10" ht="66.75" customHeight="1" x14ac:dyDescent="0.25">
      <c r="A173" s="66"/>
      <c r="B173" s="66"/>
      <c r="C173" s="148"/>
      <c r="D173" s="337"/>
      <c r="E173" s="328" t="s">
        <v>471</v>
      </c>
      <c r="F173" s="319" t="s">
        <v>472</v>
      </c>
      <c r="G173" s="34">
        <v>1</v>
      </c>
      <c r="H173" s="1395"/>
      <c r="I173" s="332" t="s">
        <v>1850</v>
      </c>
      <c r="J173" s="332" t="s">
        <v>456</v>
      </c>
    </row>
    <row r="174" spans="1:10" ht="61.5" customHeight="1" x14ac:dyDescent="0.25">
      <c r="A174" s="66"/>
      <c r="B174" s="66"/>
      <c r="C174" s="148"/>
      <c r="D174" s="337"/>
      <c r="E174" s="328" t="s">
        <v>473</v>
      </c>
      <c r="F174" s="319" t="s">
        <v>474</v>
      </c>
      <c r="G174" s="149" t="s">
        <v>475</v>
      </c>
      <c r="H174" s="1395"/>
      <c r="I174" s="332" t="s">
        <v>1850</v>
      </c>
      <c r="J174" s="332" t="s">
        <v>456</v>
      </c>
    </row>
    <row r="175" spans="1:10" ht="61.5" customHeight="1" x14ac:dyDescent="0.25">
      <c r="A175" s="66"/>
      <c r="B175" s="66"/>
      <c r="C175" s="148"/>
      <c r="D175" s="337"/>
      <c r="E175" s="328" t="s">
        <v>476</v>
      </c>
      <c r="F175" s="319" t="s">
        <v>477</v>
      </c>
      <c r="G175" s="34">
        <v>1</v>
      </c>
      <c r="H175" s="1395"/>
      <c r="I175" s="332" t="s">
        <v>1850</v>
      </c>
      <c r="J175" s="332" t="s">
        <v>456</v>
      </c>
    </row>
    <row r="176" spans="1:10" ht="52.5" customHeight="1" x14ac:dyDescent="0.25">
      <c r="A176" s="66"/>
      <c r="B176" s="66"/>
      <c r="C176" s="148"/>
      <c r="D176" s="337"/>
      <c r="E176" s="328" t="s">
        <v>478</v>
      </c>
      <c r="F176" s="319" t="s">
        <v>217</v>
      </c>
      <c r="G176" s="34">
        <f>SUM(C176:F176)</f>
        <v>0</v>
      </c>
      <c r="H176" s="1395"/>
      <c r="I176" s="332" t="s">
        <v>1850</v>
      </c>
      <c r="J176" s="332" t="s">
        <v>456</v>
      </c>
    </row>
    <row r="177" spans="1:11" ht="52.5" customHeight="1" x14ac:dyDescent="0.25">
      <c r="A177" s="66"/>
      <c r="B177" s="66"/>
      <c r="C177" s="148"/>
      <c r="D177" s="337"/>
      <c r="E177" s="328" t="s">
        <v>479</v>
      </c>
      <c r="F177" s="319" t="s">
        <v>217</v>
      </c>
      <c r="G177" s="34">
        <v>0</v>
      </c>
      <c r="H177" s="1396"/>
      <c r="I177" s="332" t="s">
        <v>1850</v>
      </c>
      <c r="J177" s="332" t="s">
        <v>456</v>
      </c>
    </row>
    <row r="178" spans="1:11" ht="63" customHeight="1" x14ac:dyDescent="0.25">
      <c r="A178" s="66"/>
      <c r="B178" s="66"/>
      <c r="C178" s="148"/>
      <c r="D178" s="337"/>
      <c r="E178" s="328" t="s">
        <v>480</v>
      </c>
      <c r="F178" s="319" t="s">
        <v>217</v>
      </c>
      <c r="G178" s="322" t="s">
        <v>481</v>
      </c>
      <c r="H178" s="22" t="s">
        <v>482</v>
      </c>
      <c r="I178" s="332" t="s">
        <v>1850</v>
      </c>
      <c r="J178" s="332" t="s">
        <v>456</v>
      </c>
    </row>
    <row r="179" spans="1:11" ht="76.5" customHeight="1" x14ac:dyDescent="0.25">
      <c r="A179" s="21" t="s">
        <v>483</v>
      </c>
      <c r="B179" s="21" t="s">
        <v>484</v>
      </c>
      <c r="C179" s="343" t="s">
        <v>485</v>
      </c>
      <c r="D179" s="143" t="s">
        <v>486</v>
      </c>
      <c r="E179" s="328" t="s">
        <v>487</v>
      </c>
      <c r="F179" s="333" t="s">
        <v>488</v>
      </c>
      <c r="G179" s="333" t="s">
        <v>489</v>
      </c>
      <c r="H179" s="150" t="s">
        <v>490</v>
      </c>
      <c r="I179" s="333" t="s">
        <v>491</v>
      </c>
      <c r="J179" s="77" t="s">
        <v>384</v>
      </c>
    </row>
    <row r="180" spans="1:11" ht="43.5" customHeight="1" x14ac:dyDescent="0.25">
      <c r="A180" s="21"/>
      <c r="B180" s="21"/>
      <c r="C180" s="343"/>
      <c r="D180" s="143"/>
      <c r="E180" s="328" t="s">
        <v>492</v>
      </c>
      <c r="F180" s="151">
        <v>8923</v>
      </c>
      <c r="G180" s="151">
        <v>25773</v>
      </c>
      <c r="H180" s="150"/>
      <c r="I180" s="333" t="s">
        <v>491</v>
      </c>
      <c r="J180" s="77" t="s">
        <v>384</v>
      </c>
    </row>
    <row r="181" spans="1:11" ht="70.5" customHeight="1" x14ac:dyDescent="0.25">
      <c r="A181" s="21"/>
      <c r="B181" s="21"/>
      <c r="C181" s="343" t="s">
        <v>493</v>
      </c>
      <c r="D181" s="143" t="s">
        <v>494</v>
      </c>
      <c r="E181" s="328" t="s">
        <v>495</v>
      </c>
      <c r="F181" s="65"/>
      <c r="G181" s="65"/>
      <c r="H181" s="150"/>
      <c r="I181" s="333" t="s">
        <v>491</v>
      </c>
      <c r="J181" s="77" t="s">
        <v>384</v>
      </c>
    </row>
    <row r="182" spans="1:11" ht="79.5" customHeight="1" x14ac:dyDescent="0.25">
      <c r="A182" s="21"/>
      <c r="B182" s="21"/>
      <c r="C182" s="343" t="s">
        <v>496</v>
      </c>
      <c r="D182" s="337" t="s">
        <v>497</v>
      </c>
      <c r="E182" s="328" t="s">
        <v>498</v>
      </c>
      <c r="F182" s="333" t="s">
        <v>499</v>
      </c>
      <c r="G182" s="333" t="s">
        <v>500</v>
      </c>
      <c r="H182" s="150" t="s">
        <v>501</v>
      </c>
      <c r="I182" s="333" t="s">
        <v>491</v>
      </c>
      <c r="J182" s="77" t="s">
        <v>384</v>
      </c>
    </row>
    <row r="183" spans="1:11" s="18" customFormat="1" ht="30.75" customHeight="1" x14ac:dyDescent="0.25">
      <c r="A183" s="16" t="s">
        <v>502</v>
      </c>
      <c r="B183" s="1397" t="s">
        <v>503</v>
      </c>
      <c r="C183" s="1398"/>
      <c r="D183" s="1398"/>
      <c r="E183" s="1398"/>
      <c r="F183" s="1398"/>
      <c r="G183" s="1398"/>
      <c r="H183" s="1398"/>
      <c r="I183" s="1398"/>
      <c r="J183" s="1398"/>
      <c r="K183" s="17"/>
    </row>
    <row r="184" spans="1:11" ht="104.25" customHeight="1" x14ac:dyDescent="0.25">
      <c r="A184" s="22" t="s">
        <v>504</v>
      </c>
      <c r="B184" s="22" t="s">
        <v>505</v>
      </c>
      <c r="C184" s="41" t="s">
        <v>506</v>
      </c>
      <c r="D184" s="135" t="s">
        <v>507</v>
      </c>
      <c r="E184" s="340" t="s">
        <v>508</v>
      </c>
      <c r="F184" s="34">
        <v>0.5</v>
      </c>
      <c r="G184" s="34">
        <v>0.9</v>
      </c>
      <c r="H184" s="22" t="s">
        <v>509</v>
      </c>
      <c r="I184" s="153" t="s">
        <v>510</v>
      </c>
      <c r="J184" s="123" t="s">
        <v>511</v>
      </c>
    </row>
    <row r="185" spans="1:11" ht="60" customHeight="1" x14ac:dyDescent="0.25">
      <c r="A185" s="22"/>
      <c r="B185" s="22"/>
      <c r="C185" s="41"/>
      <c r="D185" s="135"/>
      <c r="E185" s="340" t="s">
        <v>512</v>
      </c>
      <c r="F185" s="34">
        <v>0.5</v>
      </c>
      <c r="G185" s="34">
        <v>0.9</v>
      </c>
      <c r="H185" s="22" t="s">
        <v>513</v>
      </c>
      <c r="I185" s="153" t="s">
        <v>510</v>
      </c>
      <c r="J185" s="123" t="s">
        <v>511</v>
      </c>
    </row>
    <row r="186" spans="1:11" ht="66.75" customHeight="1" x14ac:dyDescent="0.25">
      <c r="A186" s="22"/>
      <c r="B186" s="22"/>
      <c r="C186" s="41"/>
      <c r="D186" s="135"/>
      <c r="E186" s="340" t="s">
        <v>514</v>
      </c>
      <c r="F186" s="34">
        <v>0.5</v>
      </c>
      <c r="G186" s="34">
        <v>0.8</v>
      </c>
      <c r="H186" s="22"/>
      <c r="I186" s="153" t="s">
        <v>510</v>
      </c>
      <c r="J186" s="123" t="s">
        <v>533</v>
      </c>
    </row>
    <row r="187" spans="1:11" ht="93.75" customHeight="1" x14ac:dyDescent="0.25">
      <c r="A187" s="22"/>
      <c r="B187" s="22"/>
      <c r="C187" s="41"/>
      <c r="D187" s="135"/>
      <c r="E187" s="340" t="s">
        <v>515</v>
      </c>
      <c r="F187" s="324">
        <v>1</v>
      </c>
      <c r="G187" s="324">
        <v>1</v>
      </c>
      <c r="H187" s="22" t="s">
        <v>516</v>
      </c>
      <c r="I187" s="153" t="s">
        <v>510</v>
      </c>
      <c r="J187" s="123" t="s">
        <v>511</v>
      </c>
    </row>
    <row r="188" spans="1:11" ht="119.25" customHeight="1" x14ac:dyDescent="0.25">
      <c r="A188" s="22"/>
      <c r="B188" s="22"/>
      <c r="C188" s="41"/>
      <c r="D188" s="135"/>
      <c r="E188" s="340" t="s">
        <v>517</v>
      </c>
      <c r="F188" s="324">
        <v>0.85</v>
      </c>
      <c r="G188" s="324">
        <v>0.95</v>
      </c>
      <c r="H188" s="22"/>
      <c r="I188" s="153" t="s">
        <v>510</v>
      </c>
      <c r="J188" s="123" t="s">
        <v>511</v>
      </c>
    </row>
    <row r="189" spans="1:11" ht="51" customHeight="1" x14ac:dyDescent="0.25">
      <c r="A189" s="22"/>
      <c r="B189" s="22"/>
      <c r="C189" s="41"/>
      <c r="D189" s="135"/>
      <c r="E189" s="340" t="s">
        <v>518</v>
      </c>
      <c r="F189" s="324">
        <v>0.9</v>
      </c>
      <c r="G189" s="324">
        <v>0.95</v>
      </c>
      <c r="H189" s="22"/>
      <c r="I189" s="153" t="s">
        <v>510</v>
      </c>
      <c r="J189" s="123" t="s">
        <v>511</v>
      </c>
    </row>
    <row r="190" spans="1:11" ht="43.5" customHeight="1" x14ac:dyDescent="0.25">
      <c r="A190" s="22"/>
      <c r="B190" s="22"/>
      <c r="C190" s="41"/>
      <c r="D190" s="135"/>
      <c r="E190" s="340" t="s">
        <v>519</v>
      </c>
      <c r="F190" s="324">
        <v>0.8</v>
      </c>
      <c r="G190" s="324">
        <v>0.95</v>
      </c>
      <c r="H190" s="22"/>
      <c r="I190" s="153" t="s">
        <v>510</v>
      </c>
      <c r="J190" s="123" t="s">
        <v>511</v>
      </c>
    </row>
    <row r="191" spans="1:11" ht="42.75" customHeight="1" x14ac:dyDescent="0.25">
      <c r="A191" s="22"/>
      <c r="B191" s="22"/>
      <c r="C191" s="41"/>
      <c r="D191" s="135"/>
      <c r="E191" s="340" t="s">
        <v>520</v>
      </c>
      <c r="F191" s="324">
        <v>0.8</v>
      </c>
      <c r="G191" s="324">
        <v>0.95</v>
      </c>
      <c r="H191" s="22"/>
      <c r="I191" s="153" t="s">
        <v>510</v>
      </c>
      <c r="J191" s="123" t="s">
        <v>511</v>
      </c>
    </row>
    <row r="192" spans="1:11" ht="86.25" customHeight="1" x14ac:dyDescent="0.25">
      <c r="A192" s="22"/>
      <c r="B192" s="22"/>
      <c r="C192" s="41"/>
      <c r="D192" s="135"/>
      <c r="E192" s="340" t="s">
        <v>521</v>
      </c>
      <c r="F192" s="324">
        <v>0.9</v>
      </c>
      <c r="G192" s="324">
        <v>1</v>
      </c>
      <c r="H192" s="22"/>
      <c r="I192" s="153" t="s">
        <v>510</v>
      </c>
      <c r="J192" s="123" t="s">
        <v>511</v>
      </c>
    </row>
    <row r="193" spans="1:10" ht="41.25" customHeight="1" x14ac:dyDescent="0.25">
      <c r="A193" s="22"/>
      <c r="B193" s="22"/>
      <c r="C193" s="41"/>
      <c r="D193" s="135"/>
      <c r="E193" s="340" t="s">
        <v>522</v>
      </c>
      <c r="F193" s="324">
        <v>0.85</v>
      </c>
      <c r="G193" s="324">
        <v>0.95</v>
      </c>
      <c r="H193" s="22"/>
      <c r="I193" s="153" t="s">
        <v>510</v>
      </c>
      <c r="J193" s="123" t="s">
        <v>511</v>
      </c>
    </row>
    <row r="194" spans="1:10" ht="70.5" customHeight="1" x14ac:dyDescent="0.25">
      <c r="A194" s="22"/>
      <c r="B194" s="22"/>
      <c r="C194" s="41"/>
      <c r="D194" s="135"/>
      <c r="E194" s="340" t="s">
        <v>523</v>
      </c>
      <c r="F194" s="324">
        <v>0.6</v>
      </c>
      <c r="G194" s="324">
        <v>1</v>
      </c>
      <c r="H194" s="22"/>
      <c r="I194" s="153" t="s">
        <v>510</v>
      </c>
      <c r="J194" s="123" t="s">
        <v>511</v>
      </c>
    </row>
    <row r="195" spans="1:10" ht="56.25" customHeight="1" x14ac:dyDescent="0.25">
      <c r="A195" s="22"/>
      <c r="B195" s="22"/>
      <c r="C195" s="41"/>
      <c r="D195" s="135"/>
      <c r="E195" s="340" t="s">
        <v>524</v>
      </c>
      <c r="F195" s="324">
        <v>0.55000000000000004</v>
      </c>
      <c r="G195" s="324">
        <v>0.85</v>
      </c>
      <c r="H195" s="22" t="s">
        <v>525</v>
      </c>
      <c r="I195" s="153" t="s">
        <v>510</v>
      </c>
      <c r="J195" s="123" t="s">
        <v>511</v>
      </c>
    </row>
    <row r="196" spans="1:10" ht="41.25" customHeight="1" x14ac:dyDescent="0.25">
      <c r="A196" s="22"/>
      <c r="B196" s="22"/>
      <c r="C196" s="41"/>
      <c r="D196" s="135"/>
      <c r="E196" s="340" t="s">
        <v>649</v>
      </c>
      <c r="F196" s="324">
        <v>0.7</v>
      </c>
      <c r="G196" s="324">
        <v>0.85</v>
      </c>
      <c r="H196" s="22" t="s">
        <v>650</v>
      </c>
      <c r="I196" s="153" t="s">
        <v>510</v>
      </c>
      <c r="J196" s="123" t="s">
        <v>511</v>
      </c>
    </row>
    <row r="197" spans="1:10" ht="60" customHeight="1" x14ac:dyDescent="0.25">
      <c r="A197" s="22"/>
      <c r="B197" s="22"/>
      <c r="C197" s="41"/>
      <c r="D197" s="135"/>
      <c r="E197" s="329" t="s">
        <v>526</v>
      </c>
      <c r="F197" s="154">
        <v>0.2</v>
      </c>
      <c r="G197" s="154">
        <v>0.15</v>
      </c>
      <c r="H197" s="22" t="s">
        <v>527</v>
      </c>
      <c r="I197" s="153" t="s">
        <v>510</v>
      </c>
      <c r="J197" s="123" t="s">
        <v>511</v>
      </c>
    </row>
    <row r="198" spans="1:10" ht="66" customHeight="1" x14ac:dyDescent="0.25">
      <c r="A198" s="22"/>
      <c r="B198" s="22"/>
      <c r="C198" s="41"/>
      <c r="D198" s="135"/>
      <c r="E198" s="329" t="s">
        <v>528</v>
      </c>
      <c r="F198" s="154">
        <v>0.15</v>
      </c>
      <c r="G198" s="154">
        <v>0.15</v>
      </c>
      <c r="H198" s="22"/>
      <c r="I198" s="153" t="s">
        <v>510</v>
      </c>
      <c r="J198" s="123" t="s">
        <v>511</v>
      </c>
    </row>
    <row r="199" spans="1:10" ht="95.25" customHeight="1" x14ac:dyDescent="0.25">
      <c r="A199" s="20"/>
      <c r="B199" s="20"/>
      <c r="C199" s="22"/>
      <c r="D199" s="143"/>
      <c r="E199" s="155" t="s">
        <v>529</v>
      </c>
      <c r="F199" s="156" t="s">
        <v>530</v>
      </c>
      <c r="G199" s="156" t="s">
        <v>531</v>
      </c>
      <c r="H199" s="157" t="s">
        <v>532</v>
      </c>
      <c r="I199" s="319" t="s">
        <v>510</v>
      </c>
      <c r="J199" s="319" t="s">
        <v>533</v>
      </c>
    </row>
    <row r="200" spans="1:10" ht="44.25" customHeight="1" x14ac:dyDescent="0.25">
      <c r="A200" s="22"/>
      <c r="B200" s="22"/>
      <c r="C200" s="41"/>
      <c r="D200" s="135"/>
      <c r="E200" s="329" t="s">
        <v>534</v>
      </c>
      <c r="F200" s="324">
        <v>0.4</v>
      </c>
      <c r="G200" s="324">
        <v>0.8</v>
      </c>
      <c r="H200" s="22"/>
      <c r="I200" s="153" t="s">
        <v>510</v>
      </c>
      <c r="J200" s="123" t="s">
        <v>511</v>
      </c>
    </row>
    <row r="201" spans="1:10" ht="77.25" customHeight="1" x14ac:dyDescent="0.25">
      <c r="A201" s="22"/>
      <c r="B201" s="22"/>
      <c r="C201" s="41" t="s">
        <v>535</v>
      </c>
      <c r="D201" s="135" t="s">
        <v>536</v>
      </c>
      <c r="E201" s="329" t="s">
        <v>537</v>
      </c>
      <c r="F201" s="324" t="s">
        <v>1851</v>
      </c>
      <c r="G201" s="324" t="s">
        <v>1851</v>
      </c>
      <c r="H201" s="22"/>
      <c r="I201" s="319" t="s">
        <v>510</v>
      </c>
      <c r="J201" s="319" t="s">
        <v>533</v>
      </c>
    </row>
    <row r="202" spans="1:10" ht="96" customHeight="1" x14ac:dyDescent="0.25">
      <c r="A202" s="20"/>
      <c r="B202" s="20"/>
      <c r="C202" s="22"/>
      <c r="D202" s="143"/>
      <c r="E202" s="335" t="s">
        <v>538</v>
      </c>
      <c r="F202" s="158" t="s">
        <v>539</v>
      </c>
      <c r="G202" s="34">
        <v>1</v>
      </c>
      <c r="H202" s="155" t="s">
        <v>540</v>
      </c>
      <c r="I202" s="319" t="s">
        <v>510</v>
      </c>
      <c r="J202" s="319" t="s">
        <v>533</v>
      </c>
    </row>
    <row r="203" spans="1:10" ht="69" customHeight="1" x14ac:dyDescent="0.25">
      <c r="A203" s="20"/>
      <c r="B203" s="20"/>
      <c r="C203" s="22"/>
      <c r="D203" s="143"/>
      <c r="E203" s="155" t="s">
        <v>541</v>
      </c>
      <c r="F203" s="159" t="s">
        <v>542</v>
      </c>
      <c r="G203" s="34" t="s">
        <v>543</v>
      </c>
      <c r="H203" s="160" t="s">
        <v>544</v>
      </c>
      <c r="I203" s="319" t="s">
        <v>510</v>
      </c>
      <c r="J203" s="319" t="s">
        <v>533</v>
      </c>
    </row>
    <row r="204" spans="1:10" ht="85.5" customHeight="1" x14ac:dyDescent="0.25">
      <c r="A204" s="20"/>
      <c r="B204" s="20"/>
      <c r="C204" s="22"/>
      <c r="D204" s="143"/>
      <c r="E204" s="155" t="s">
        <v>545</v>
      </c>
      <c r="F204" s="322" t="s">
        <v>546</v>
      </c>
      <c r="G204" s="322" t="s">
        <v>546</v>
      </c>
      <c r="H204" s="22"/>
      <c r="I204" s="319" t="s">
        <v>510</v>
      </c>
      <c r="J204" s="319" t="s">
        <v>533</v>
      </c>
    </row>
    <row r="205" spans="1:10" ht="63" customHeight="1" x14ac:dyDescent="0.25">
      <c r="A205" s="20"/>
      <c r="B205" s="20"/>
      <c r="C205" s="22"/>
      <c r="D205" s="143"/>
      <c r="E205" s="155" t="s">
        <v>547</v>
      </c>
      <c r="F205" s="322" t="s">
        <v>548</v>
      </c>
      <c r="G205" s="322" t="s">
        <v>549</v>
      </c>
      <c r="H205" s="22"/>
      <c r="I205" s="319" t="s">
        <v>510</v>
      </c>
      <c r="J205" s="319" t="s">
        <v>533</v>
      </c>
    </row>
    <row r="206" spans="1:10" ht="60" customHeight="1" x14ac:dyDescent="0.25">
      <c r="A206" s="20"/>
      <c r="B206" s="20"/>
      <c r="C206" s="22"/>
      <c r="D206" s="143"/>
      <c r="E206" s="155" t="s">
        <v>550</v>
      </c>
      <c r="F206" s="34" t="s">
        <v>551</v>
      </c>
      <c r="G206" s="34" t="s">
        <v>552</v>
      </c>
      <c r="H206" s="22"/>
      <c r="I206" s="319" t="s">
        <v>510</v>
      </c>
      <c r="J206" s="319" t="s">
        <v>533</v>
      </c>
    </row>
    <row r="207" spans="1:10" ht="57" customHeight="1" x14ac:dyDescent="0.25">
      <c r="A207" s="20"/>
      <c r="B207" s="20"/>
      <c r="C207" s="22"/>
      <c r="D207" s="143"/>
      <c r="E207" s="155" t="s">
        <v>553</v>
      </c>
      <c r="F207" s="319" t="s">
        <v>554</v>
      </c>
      <c r="G207" s="159" t="s">
        <v>543</v>
      </c>
      <c r="H207" s="22"/>
      <c r="I207" s="319" t="s">
        <v>510</v>
      </c>
      <c r="J207" s="319" t="s">
        <v>533</v>
      </c>
    </row>
    <row r="208" spans="1:10" ht="111" customHeight="1" x14ac:dyDescent="0.25">
      <c r="A208" s="20"/>
      <c r="B208" s="20"/>
      <c r="C208" s="22"/>
      <c r="D208" s="143"/>
      <c r="E208" s="155" t="s">
        <v>555</v>
      </c>
      <c r="F208" s="159" t="s">
        <v>556</v>
      </c>
      <c r="G208" s="159" t="s">
        <v>557</v>
      </c>
      <c r="H208" s="155" t="s">
        <v>558</v>
      </c>
      <c r="I208" s="319" t="s">
        <v>510</v>
      </c>
      <c r="J208" s="319" t="s">
        <v>533</v>
      </c>
    </row>
    <row r="209" spans="1:10" ht="69.75" customHeight="1" x14ac:dyDescent="0.25">
      <c r="A209" s="20"/>
      <c r="B209" s="20"/>
      <c r="C209" s="22"/>
      <c r="D209" s="143"/>
      <c r="E209" s="155" t="s">
        <v>559</v>
      </c>
      <c r="F209" s="34" t="s">
        <v>560</v>
      </c>
      <c r="G209" s="34" t="s">
        <v>561</v>
      </c>
      <c r="H209" s="155"/>
      <c r="I209" s="319" t="s">
        <v>510</v>
      </c>
      <c r="J209" s="319" t="s">
        <v>533</v>
      </c>
    </row>
    <row r="210" spans="1:10" ht="55.5" customHeight="1" x14ac:dyDescent="0.25">
      <c r="A210" s="20"/>
      <c r="B210" s="20"/>
      <c r="C210" s="22"/>
      <c r="D210" s="143"/>
      <c r="E210" s="155" t="s">
        <v>562</v>
      </c>
      <c r="F210" s="34" t="s">
        <v>551</v>
      </c>
      <c r="G210" s="34" t="s">
        <v>563</v>
      </c>
      <c r="H210" s="155"/>
      <c r="I210" s="319" t="s">
        <v>510</v>
      </c>
      <c r="J210" s="319" t="s">
        <v>533</v>
      </c>
    </row>
    <row r="211" spans="1:10" ht="57" customHeight="1" x14ac:dyDescent="0.25">
      <c r="A211" s="20"/>
      <c r="B211" s="20"/>
      <c r="C211" s="22"/>
      <c r="D211" s="143"/>
      <c r="E211" s="335" t="s">
        <v>564</v>
      </c>
      <c r="F211" s="34" t="s">
        <v>551</v>
      </c>
      <c r="G211" s="34">
        <v>1</v>
      </c>
      <c r="H211" s="155"/>
      <c r="I211" s="319" t="s">
        <v>510</v>
      </c>
      <c r="J211" s="319" t="s">
        <v>533</v>
      </c>
    </row>
    <row r="212" spans="1:10" ht="85.5" customHeight="1" x14ac:dyDescent="0.25">
      <c r="A212" s="20"/>
      <c r="B212" s="20"/>
      <c r="C212" s="22"/>
      <c r="D212" s="143"/>
      <c r="E212" s="335" t="s">
        <v>565</v>
      </c>
      <c r="F212" s="34">
        <v>1</v>
      </c>
      <c r="G212" s="34">
        <v>1</v>
      </c>
      <c r="H212" s="155" t="s">
        <v>566</v>
      </c>
      <c r="I212" s="319" t="s">
        <v>510</v>
      </c>
      <c r="J212" s="319" t="s">
        <v>533</v>
      </c>
    </row>
    <row r="213" spans="1:10" ht="139.5" customHeight="1" x14ac:dyDescent="0.25">
      <c r="A213" s="41" t="s">
        <v>567</v>
      </c>
      <c r="B213" s="41" t="s">
        <v>568</v>
      </c>
      <c r="C213" s="41" t="s">
        <v>569</v>
      </c>
      <c r="D213" s="135" t="s">
        <v>570</v>
      </c>
      <c r="E213" s="329" t="s">
        <v>571</v>
      </c>
      <c r="F213" s="332" t="s">
        <v>572</v>
      </c>
      <c r="G213" s="332" t="s">
        <v>573</v>
      </c>
      <c r="H213" s="22" t="s">
        <v>574</v>
      </c>
      <c r="I213" s="153" t="s">
        <v>510</v>
      </c>
      <c r="J213" s="123" t="s">
        <v>511</v>
      </c>
    </row>
    <row r="214" spans="1:10" ht="53.25" customHeight="1" x14ac:dyDescent="0.25">
      <c r="A214" s="41"/>
      <c r="B214" s="41"/>
      <c r="C214" s="41"/>
      <c r="D214" s="135"/>
      <c r="E214" s="329" t="s">
        <v>575</v>
      </c>
      <c r="F214" s="25" t="s">
        <v>576</v>
      </c>
      <c r="G214" s="25" t="s">
        <v>577</v>
      </c>
      <c r="H214" s="22" t="s">
        <v>578</v>
      </c>
      <c r="I214" s="153" t="s">
        <v>510</v>
      </c>
      <c r="J214" s="123" t="s">
        <v>511</v>
      </c>
    </row>
    <row r="215" spans="1:10" ht="57.75" customHeight="1" x14ac:dyDescent="0.25">
      <c r="A215" s="41"/>
      <c r="B215" s="41"/>
      <c r="C215" s="41"/>
      <c r="D215" s="135"/>
      <c r="E215" s="340" t="s">
        <v>579</v>
      </c>
      <c r="F215" s="332" t="s">
        <v>580</v>
      </c>
      <c r="G215" s="332" t="s">
        <v>581</v>
      </c>
      <c r="H215" s="1347" t="s">
        <v>582</v>
      </c>
      <c r="I215" s="153" t="s">
        <v>510</v>
      </c>
      <c r="J215" s="123" t="s">
        <v>511</v>
      </c>
    </row>
    <row r="216" spans="1:10" ht="68.25" customHeight="1" x14ac:dyDescent="0.25">
      <c r="A216" s="41"/>
      <c r="B216" s="41"/>
      <c r="C216" s="41"/>
      <c r="D216" s="135"/>
      <c r="E216" s="340" t="s">
        <v>583</v>
      </c>
      <c r="F216" s="324">
        <v>0.85</v>
      </c>
      <c r="G216" s="324">
        <v>0.95</v>
      </c>
      <c r="H216" s="1347"/>
      <c r="I216" s="153" t="s">
        <v>510</v>
      </c>
      <c r="J216" s="123" t="s">
        <v>511</v>
      </c>
    </row>
    <row r="217" spans="1:10" ht="66" customHeight="1" x14ac:dyDescent="0.25">
      <c r="A217" s="41"/>
      <c r="B217" s="41"/>
      <c r="C217" s="41"/>
      <c r="D217" s="135"/>
      <c r="E217" s="340" t="s">
        <v>584</v>
      </c>
      <c r="F217" s="154">
        <v>0.75</v>
      </c>
      <c r="G217" s="154">
        <v>0.9</v>
      </c>
      <c r="H217" s="1347"/>
      <c r="I217" s="153" t="s">
        <v>510</v>
      </c>
      <c r="J217" s="123" t="s">
        <v>511</v>
      </c>
    </row>
    <row r="218" spans="1:10" ht="53.25" customHeight="1" x14ac:dyDescent="0.25">
      <c r="A218" s="41"/>
      <c r="B218" s="41"/>
      <c r="C218" s="41"/>
      <c r="D218" s="135"/>
      <c r="E218" s="340" t="s">
        <v>585</v>
      </c>
      <c r="F218" s="324">
        <v>1</v>
      </c>
      <c r="G218" s="324">
        <v>1</v>
      </c>
      <c r="H218" s="22" t="s">
        <v>586</v>
      </c>
      <c r="I218" s="153" t="s">
        <v>510</v>
      </c>
      <c r="J218" s="123" t="s">
        <v>511</v>
      </c>
    </row>
    <row r="219" spans="1:10" ht="54" customHeight="1" x14ac:dyDescent="0.25">
      <c r="A219" s="41"/>
      <c r="B219" s="41"/>
      <c r="C219" s="41"/>
      <c r="D219" s="135"/>
      <c r="E219" s="340" t="s">
        <v>587</v>
      </c>
      <c r="F219" s="324">
        <v>0.5</v>
      </c>
      <c r="G219" s="324">
        <v>1</v>
      </c>
      <c r="H219" s="1347" t="s">
        <v>588</v>
      </c>
      <c r="I219" s="153" t="s">
        <v>510</v>
      </c>
      <c r="J219" s="123" t="s">
        <v>511</v>
      </c>
    </row>
    <row r="220" spans="1:10" ht="110.25" customHeight="1" x14ac:dyDescent="0.25">
      <c r="A220" s="41"/>
      <c r="B220" s="41"/>
      <c r="C220" s="41"/>
      <c r="D220" s="135"/>
      <c r="E220" s="340" t="s">
        <v>589</v>
      </c>
      <c r="F220" s="154">
        <v>1</v>
      </c>
      <c r="G220" s="161">
        <v>1</v>
      </c>
      <c r="H220" s="1347"/>
      <c r="I220" s="153" t="s">
        <v>510</v>
      </c>
      <c r="J220" s="123" t="s">
        <v>511</v>
      </c>
    </row>
    <row r="221" spans="1:10" ht="123" customHeight="1" x14ac:dyDescent="0.25">
      <c r="A221" s="41"/>
      <c r="B221" s="41"/>
      <c r="C221" s="41"/>
      <c r="D221" s="135"/>
      <c r="E221" s="340" t="s">
        <v>590</v>
      </c>
      <c r="F221" s="154">
        <v>0.1</v>
      </c>
      <c r="G221" s="154">
        <v>0.4</v>
      </c>
      <c r="H221" s="1347"/>
      <c r="I221" s="153" t="s">
        <v>510</v>
      </c>
      <c r="J221" s="123" t="s">
        <v>511</v>
      </c>
    </row>
    <row r="222" spans="1:10" ht="74.25" customHeight="1" x14ac:dyDescent="0.25">
      <c r="A222" s="22" t="s">
        <v>591</v>
      </c>
      <c r="B222" s="22" t="s">
        <v>592</v>
      </c>
      <c r="C222" s="1393" t="s">
        <v>593</v>
      </c>
      <c r="D222" s="1370" t="s">
        <v>594</v>
      </c>
      <c r="E222" s="340" t="s">
        <v>595</v>
      </c>
      <c r="F222" s="324">
        <v>0.4</v>
      </c>
      <c r="G222" s="324">
        <v>0.7</v>
      </c>
      <c r="H222" s="22" t="s">
        <v>596</v>
      </c>
      <c r="I222" s="153" t="s">
        <v>510</v>
      </c>
      <c r="J222" s="123" t="s">
        <v>511</v>
      </c>
    </row>
    <row r="223" spans="1:10" ht="70.5" customHeight="1" x14ac:dyDescent="0.25">
      <c r="A223" s="22"/>
      <c r="B223" s="22"/>
      <c r="C223" s="1393"/>
      <c r="D223" s="1370"/>
      <c r="E223" s="340" t="s">
        <v>597</v>
      </c>
      <c r="F223" s="324">
        <v>0.4</v>
      </c>
      <c r="G223" s="324">
        <v>0.7</v>
      </c>
      <c r="H223" s="22" t="s">
        <v>598</v>
      </c>
      <c r="I223" s="153" t="s">
        <v>510</v>
      </c>
      <c r="J223" s="123" t="s">
        <v>511</v>
      </c>
    </row>
    <row r="224" spans="1:10" ht="90" customHeight="1" x14ac:dyDescent="0.25">
      <c r="A224" s="22"/>
      <c r="B224" s="22"/>
      <c r="C224" s="1393"/>
      <c r="D224" s="1370"/>
      <c r="E224" s="340" t="s">
        <v>599</v>
      </c>
      <c r="F224" s="324">
        <v>0.3</v>
      </c>
      <c r="G224" s="324">
        <v>0.8</v>
      </c>
      <c r="H224" s="22" t="s">
        <v>600</v>
      </c>
      <c r="I224" s="153" t="s">
        <v>510</v>
      </c>
      <c r="J224" s="123" t="s">
        <v>511</v>
      </c>
    </row>
    <row r="225" spans="1:11" ht="59.25" customHeight="1" x14ac:dyDescent="0.25">
      <c r="A225" s="163"/>
      <c r="B225" s="163"/>
      <c r="C225" s="21" t="s">
        <v>601</v>
      </c>
      <c r="D225" s="143" t="s">
        <v>602</v>
      </c>
      <c r="E225" s="1383" t="s">
        <v>603</v>
      </c>
      <c r="F225" s="1384" t="s">
        <v>604</v>
      </c>
      <c r="G225" s="1384" t="s">
        <v>605</v>
      </c>
      <c r="H225" s="335" t="s">
        <v>606</v>
      </c>
      <c r="I225" s="333" t="s">
        <v>607</v>
      </c>
      <c r="J225" s="1399" t="s">
        <v>608</v>
      </c>
    </row>
    <row r="226" spans="1:11" ht="57.75" customHeight="1" x14ac:dyDescent="0.25">
      <c r="A226" s="163"/>
      <c r="B226" s="163"/>
      <c r="C226" s="21"/>
      <c r="D226" s="143"/>
      <c r="E226" s="1383"/>
      <c r="F226" s="1384"/>
      <c r="G226" s="1384"/>
      <c r="H226" s="150" t="s">
        <v>609</v>
      </c>
      <c r="I226" s="333" t="s">
        <v>607</v>
      </c>
      <c r="J226" s="1399"/>
    </row>
    <row r="227" spans="1:11" ht="69.75" customHeight="1" x14ac:dyDescent="0.25">
      <c r="A227" s="163"/>
      <c r="B227" s="163"/>
      <c r="C227" s="21"/>
      <c r="D227" s="143" t="s">
        <v>610</v>
      </c>
      <c r="E227" s="1383" t="s">
        <v>611</v>
      </c>
      <c r="F227" s="1384" t="s">
        <v>612</v>
      </c>
      <c r="G227" s="1384" t="s">
        <v>613</v>
      </c>
      <c r="H227" s="150" t="s">
        <v>614</v>
      </c>
      <c r="I227" s="333" t="s">
        <v>607</v>
      </c>
      <c r="J227" s="1385" t="s">
        <v>608</v>
      </c>
    </row>
    <row r="228" spans="1:11" ht="60.75" customHeight="1" x14ac:dyDescent="0.25">
      <c r="A228" s="163"/>
      <c r="B228" s="163"/>
      <c r="C228" s="26"/>
      <c r="D228" s="181"/>
      <c r="E228" s="1383"/>
      <c r="F228" s="1384"/>
      <c r="G228" s="1384"/>
      <c r="H228" s="150" t="s">
        <v>615</v>
      </c>
      <c r="I228" s="333" t="s">
        <v>607</v>
      </c>
      <c r="J228" s="1385"/>
    </row>
    <row r="229" spans="1:11" ht="66.75" customHeight="1" x14ac:dyDescent="0.25">
      <c r="A229" s="163"/>
      <c r="B229" s="163"/>
      <c r="C229" s="26"/>
      <c r="D229" s="143" t="s">
        <v>616</v>
      </c>
      <c r="E229" s="166" t="s">
        <v>617</v>
      </c>
      <c r="F229" s="331" t="s">
        <v>618</v>
      </c>
      <c r="G229" s="331" t="s">
        <v>619</v>
      </c>
      <c r="H229" s="150" t="s">
        <v>620</v>
      </c>
      <c r="I229" s="333" t="s">
        <v>607</v>
      </c>
      <c r="J229" s="333" t="s">
        <v>608</v>
      </c>
    </row>
    <row r="230" spans="1:11" s="18" customFormat="1" ht="77.25" customHeight="1" x14ac:dyDescent="0.25">
      <c r="A230" s="82"/>
      <c r="B230" s="82"/>
      <c r="C230" s="46"/>
      <c r="D230" s="364"/>
      <c r="E230" s="168"/>
      <c r="F230" s="169"/>
      <c r="G230" s="169"/>
      <c r="H230" s="170" t="s">
        <v>621</v>
      </c>
      <c r="I230" s="171" t="s">
        <v>607</v>
      </c>
      <c r="J230" s="48"/>
    </row>
    <row r="231" spans="1:11" ht="99" customHeight="1" x14ac:dyDescent="0.25">
      <c r="A231" s="22" t="s">
        <v>622</v>
      </c>
      <c r="B231" s="22" t="s">
        <v>623</v>
      </c>
      <c r="C231" s="21" t="s">
        <v>624</v>
      </c>
      <c r="D231" s="143" t="s">
        <v>625</v>
      </c>
      <c r="E231" s="330" t="s">
        <v>626</v>
      </c>
      <c r="F231" s="159" t="s">
        <v>627</v>
      </c>
      <c r="G231" s="319" t="s">
        <v>628</v>
      </c>
      <c r="H231" s="22" t="s">
        <v>629</v>
      </c>
      <c r="I231" s="29" t="s">
        <v>630</v>
      </c>
      <c r="J231" s="319" t="s">
        <v>631</v>
      </c>
    </row>
    <row r="232" spans="1:11" ht="57" customHeight="1" x14ac:dyDescent="0.25">
      <c r="A232" s="22"/>
      <c r="B232" s="22"/>
      <c r="C232" s="21"/>
      <c r="D232" s="143"/>
      <c r="E232" s="173" t="s">
        <v>1816</v>
      </c>
      <c r="F232" s="319" t="s">
        <v>633</v>
      </c>
      <c r="G232" s="319" t="s">
        <v>634</v>
      </c>
      <c r="H232" s="22" t="s">
        <v>1852</v>
      </c>
      <c r="I232" s="29" t="s">
        <v>630</v>
      </c>
      <c r="J232" s="319" t="s">
        <v>631</v>
      </c>
    </row>
    <row r="233" spans="1:11" ht="69" customHeight="1" x14ac:dyDescent="0.25">
      <c r="A233" s="22"/>
      <c r="B233" s="22"/>
      <c r="C233" s="21"/>
      <c r="D233" s="143"/>
      <c r="E233" s="330" t="s">
        <v>635</v>
      </c>
      <c r="F233" s="319" t="s">
        <v>636</v>
      </c>
      <c r="G233" s="319" t="s">
        <v>637</v>
      </c>
      <c r="H233" s="22" t="s">
        <v>1853</v>
      </c>
      <c r="I233" s="29" t="s">
        <v>630</v>
      </c>
      <c r="J233" s="319" t="s">
        <v>631</v>
      </c>
    </row>
    <row r="234" spans="1:11" ht="66.75" customHeight="1" x14ac:dyDescent="0.25">
      <c r="A234" s="22"/>
      <c r="B234" s="22"/>
      <c r="C234" s="21"/>
      <c r="D234" s="143"/>
      <c r="E234" s="174" t="s">
        <v>638</v>
      </c>
      <c r="F234" s="319" t="s">
        <v>639</v>
      </c>
      <c r="G234" s="319" t="s">
        <v>640</v>
      </c>
      <c r="H234" s="22" t="s">
        <v>1813</v>
      </c>
      <c r="I234" s="29" t="s">
        <v>630</v>
      </c>
      <c r="J234" s="319" t="s">
        <v>631</v>
      </c>
    </row>
    <row r="235" spans="1:11" ht="90.75" customHeight="1" x14ac:dyDescent="0.25">
      <c r="A235" s="22"/>
      <c r="B235" s="22"/>
      <c r="C235" s="21"/>
      <c r="D235" s="143"/>
      <c r="E235" s="174" t="s">
        <v>641</v>
      </c>
      <c r="F235" s="319" t="s">
        <v>642</v>
      </c>
      <c r="G235" s="319" t="s">
        <v>643</v>
      </c>
      <c r="H235" s="22" t="s">
        <v>644</v>
      </c>
      <c r="I235" s="29" t="s">
        <v>630</v>
      </c>
      <c r="J235" s="319" t="s">
        <v>631</v>
      </c>
      <c r="K235" s="175"/>
    </row>
    <row r="236" spans="1:11" ht="121.5" customHeight="1" x14ac:dyDescent="0.25">
      <c r="A236" s="22"/>
      <c r="B236" s="22"/>
      <c r="C236" s="21"/>
      <c r="D236" s="143"/>
      <c r="E236" s="176" t="s">
        <v>645</v>
      </c>
      <c r="F236" s="177">
        <v>4.3055555555555562E-2</v>
      </c>
      <c r="G236" s="177">
        <v>4.2361111111111106E-2</v>
      </c>
      <c r="H236" s="22" t="s">
        <v>650</v>
      </c>
      <c r="I236" s="49"/>
      <c r="J236" s="319" t="s">
        <v>631</v>
      </c>
    </row>
    <row r="237" spans="1:11" ht="97.5" customHeight="1" x14ac:dyDescent="0.25">
      <c r="A237" s="22"/>
      <c r="B237" s="22"/>
      <c r="C237" s="21"/>
      <c r="D237" s="143"/>
      <c r="E237" s="176" t="s">
        <v>646</v>
      </c>
      <c r="F237" s="34">
        <v>1</v>
      </c>
      <c r="G237" s="34">
        <v>1</v>
      </c>
      <c r="H237" s="22" t="s">
        <v>1814</v>
      </c>
      <c r="I237" s="1348" t="s">
        <v>630</v>
      </c>
      <c r="J237" s="319" t="s">
        <v>631</v>
      </c>
    </row>
    <row r="238" spans="1:11" ht="112.5" customHeight="1" x14ac:dyDescent="0.25">
      <c r="A238" s="22"/>
      <c r="B238" s="22"/>
      <c r="C238" s="21"/>
      <c r="D238" s="143"/>
      <c r="E238" s="176" t="s">
        <v>647</v>
      </c>
      <c r="F238" s="34">
        <v>1</v>
      </c>
      <c r="G238" s="34">
        <v>1</v>
      </c>
      <c r="H238" s="22" t="s">
        <v>1817</v>
      </c>
      <c r="I238" s="1349"/>
      <c r="J238" s="319" t="s">
        <v>631</v>
      </c>
    </row>
    <row r="239" spans="1:11" ht="90.75" customHeight="1" x14ac:dyDescent="0.25">
      <c r="A239" s="22"/>
      <c r="B239" s="22"/>
      <c r="C239" s="21"/>
      <c r="D239" s="143"/>
      <c r="E239" s="176" t="s">
        <v>648</v>
      </c>
      <c r="F239" s="327">
        <v>1</v>
      </c>
      <c r="G239" s="34">
        <v>1</v>
      </c>
      <c r="H239" s="22" t="s">
        <v>1818</v>
      </c>
      <c r="I239" s="1349"/>
      <c r="J239" s="1361" t="s">
        <v>631</v>
      </c>
    </row>
    <row r="240" spans="1:11" ht="46.5" customHeight="1" x14ac:dyDescent="0.25">
      <c r="A240" s="22"/>
      <c r="B240" s="22"/>
      <c r="C240" s="21"/>
      <c r="D240" s="143"/>
      <c r="E240" s="1387" t="s">
        <v>651</v>
      </c>
      <c r="F240" s="1389">
        <v>0.2</v>
      </c>
      <c r="G240" s="1391">
        <v>0.7</v>
      </c>
      <c r="H240" s="22" t="s">
        <v>1854</v>
      </c>
      <c r="I240" s="1349"/>
      <c r="J240" s="1386"/>
    </row>
    <row r="241" spans="1:10" ht="42.75" customHeight="1" x14ac:dyDescent="0.25">
      <c r="A241" s="22"/>
      <c r="B241" s="22"/>
      <c r="C241" s="21"/>
      <c r="D241" s="143"/>
      <c r="E241" s="1388"/>
      <c r="F241" s="1390"/>
      <c r="G241" s="1392"/>
      <c r="H241" s="22" t="s">
        <v>1815</v>
      </c>
      <c r="I241" s="1350"/>
      <c r="J241" s="1362"/>
    </row>
    <row r="242" spans="1:10" s="18" customFormat="1" ht="81" customHeight="1" x14ac:dyDescent="0.25">
      <c r="A242" s="21" t="s">
        <v>652</v>
      </c>
      <c r="B242" s="21" t="s">
        <v>653</v>
      </c>
      <c r="C242" s="21" t="s">
        <v>654</v>
      </c>
      <c r="D242" s="143" t="s">
        <v>655</v>
      </c>
      <c r="E242" s="21" t="s">
        <v>656</v>
      </c>
      <c r="F242" s="179" t="s">
        <v>657</v>
      </c>
      <c r="G242" s="179" t="s">
        <v>658</v>
      </c>
      <c r="H242" s="343" t="s">
        <v>659</v>
      </c>
      <c r="I242" s="323" t="s">
        <v>660</v>
      </c>
      <c r="J242" s="323" t="s">
        <v>661</v>
      </c>
    </row>
    <row r="243" spans="1:10" ht="50.25" customHeight="1" x14ac:dyDescent="0.25">
      <c r="A243" s="143"/>
      <c r="B243" s="143"/>
      <c r="C243" s="143"/>
      <c r="D243" s="143"/>
      <c r="E243" s="143" t="s">
        <v>662</v>
      </c>
      <c r="F243" s="180" t="s">
        <v>663</v>
      </c>
      <c r="G243" s="180" t="s">
        <v>664</v>
      </c>
      <c r="H243" s="143" t="s">
        <v>665</v>
      </c>
      <c r="I243" s="347" t="s">
        <v>660</v>
      </c>
      <c r="J243" s="347" t="s">
        <v>661</v>
      </c>
    </row>
    <row r="244" spans="1:10" ht="25.5" customHeight="1" x14ac:dyDescent="0.25">
      <c r="A244" s="143"/>
      <c r="B244" s="143"/>
      <c r="C244" s="143"/>
      <c r="D244" s="143"/>
      <c r="E244" s="182" t="s">
        <v>666</v>
      </c>
      <c r="F244" s="180" t="s">
        <v>667</v>
      </c>
      <c r="G244" s="180" t="s">
        <v>668</v>
      </c>
      <c r="H244" s="143"/>
      <c r="I244" s="347"/>
      <c r="J244" s="347"/>
    </row>
    <row r="245" spans="1:10" ht="28.5" customHeight="1" x14ac:dyDescent="0.25">
      <c r="A245" s="143"/>
      <c r="B245" s="143"/>
      <c r="C245" s="143"/>
      <c r="D245" s="143"/>
      <c r="E245" s="182" t="s">
        <v>669</v>
      </c>
      <c r="F245" s="180" t="s">
        <v>670</v>
      </c>
      <c r="G245" s="180" t="s">
        <v>671</v>
      </c>
      <c r="H245" s="143"/>
      <c r="I245" s="347" t="s">
        <v>660</v>
      </c>
      <c r="J245" s="347" t="s">
        <v>661</v>
      </c>
    </row>
    <row r="246" spans="1:10" ht="33" customHeight="1" x14ac:dyDescent="0.25">
      <c r="A246" s="143"/>
      <c r="B246" s="143"/>
      <c r="C246" s="143"/>
      <c r="D246" s="143"/>
      <c r="E246" s="143" t="s">
        <v>672</v>
      </c>
      <c r="F246" s="179" t="s">
        <v>673</v>
      </c>
      <c r="G246" s="179" t="s">
        <v>674</v>
      </c>
      <c r="H246" s="143"/>
      <c r="I246" s="347" t="s">
        <v>660</v>
      </c>
      <c r="J246" s="347" t="s">
        <v>661</v>
      </c>
    </row>
    <row r="247" spans="1:10" ht="25.5" customHeight="1" x14ac:dyDescent="0.25">
      <c r="A247" s="143"/>
      <c r="B247" s="143"/>
      <c r="C247" s="143"/>
      <c r="D247" s="143"/>
      <c r="E247" s="182" t="s">
        <v>675</v>
      </c>
      <c r="F247" s="179" t="s">
        <v>676</v>
      </c>
      <c r="G247" s="179" t="s">
        <v>677</v>
      </c>
      <c r="H247" s="143"/>
      <c r="I247" s="347"/>
      <c r="J247" s="347"/>
    </row>
    <row r="248" spans="1:10" ht="25.5" customHeight="1" x14ac:dyDescent="0.25">
      <c r="A248" s="143"/>
      <c r="B248" s="143"/>
      <c r="C248" s="143"/>
      <c r="D248" s="143"/>
      <c r="E248" s="182" t="s">
        <v>678</v>
      </c>
      <c r="F248" s="180" t="s">
        <v>679</v>
      </c>
      <c r="G248" s="180" t="s">
        <v>680</v>
      </c>
      <c r="H248" s="143"/>
      <c r="I248" s="347" t="s">
        <v>660</v>
      </c>
      <c r="J248" s="347" t="s">
        <v>661</v>
      </c>
    </row>
    <row r="249" spans="1:10" ht="37.5" customHeight="1" x14ac:dyDescent="0.25">
      <c r="A249" s="143"/>
      <c r="B249" s="143"/>
      <c r="C249" s="143"/>
      <c r="D249" s="143"/>
      <c r="E249" s="143" t="s">
        <v>681</v>
      </c>
      <c r="F249" s="179" t="s">
        <v>682</v>
      </c>
      <c r="G249" s="179" t="s">
        <v>682</v>
      </c>
      <c r="H249" s="143"/>
      <c r="I249" s="347" t="s">
        <v>660</v>
      </c>
      <c r="J249" s="347" t="s">
        <v>661</v>
      </c>
    </row>
    <row r="250" spans="1:10" ht="26.25" customHeight="1" x14ac:dyDescent="0.25">
      <c r="A250" s="143"/>
      <c r="B250" s="143"/>
      <c r="C250" s="143"/>
      <c r="D250" s="143"/>
      <c r="E250" s="182" t="s">
        <v>683</v>
      </c>
      <c r="F250" s="179" t="s">
        <v>684</v>
      </c>
      <c r="G250" s="179" t="s">
        <v>685</v>
      </c>
      <c r="H250" s="337"/>
      <c r="I250" s="347"/>
      <c r="J250" s="347"/>
    </row>
    <row r="251" spans="1:10" ht="30" customHeight="1" x14ac:dyDescent="0.25">
      <c r="A251" s="143"/>
      <c r="B251" s="143"/>
      <c r="C251" s="143"/>
      <c r="D251" s="143"/>
      <c r="E251" s="182" t="s">
        <v>686</v>
      </c>
      <c r="F251" s="180" t="s">
        <v>687</v>
      </c>
      <c r="G251" s="180" t="s">
        <v>688</v>
      </c>
      <c r="H251" s="143"/>
      <c r="I251" s="347" t="s">
        <v>660</v>
      </c>
      <c r="J251" s="347" t="s">
        <v>661</v>
      </c>
    </row>
    <row r="252" spans="1:10" ht="40.5" customHeight="1" x14ac:dyDescent="0.25">
      <c r="A252" s="143"/>
      <c r="B252" s="143"/>
      <c r="C252" s="143"/>
      <c r="D252" s="143"/>
      <c r="E252" s="143" t="s">
        <v>689</v>
      </c>
      <c r="F252" s="179" t="s">
        <v>690</v>
      </c>
      <c r="G252" s="179" t="s">
        <v>691</v>
      </c>
      <c r="H252" s="337"/>
      <c r="I252" s="347" t="s">
        <v>660</v>
      </c>
      <c r="J252" s="347" t="s">
        <v>661</v>
      </c>
    </row>
    <row r="253" spans="1:10" ht="83.25" customHeight="1" x14ac:dyDescent="0.25">
      <c r="A253" s="143"/>
      <c r="B253" s="143"/>
      <c r="C253" s="143"/>
      <c r="D253" s="143" t="s">
        <v>692</v>
      </c>
      <c r="E253" s="143" t="s">
        <v>693</v>
      </c>
      <c r="F253" s="185" t="s">
        <v>694</v>
      </c>
      <c r="G253" s="180" t="s">
        <v>695</v>
      </c>
      <c r="H253" s="337"/>
      <c r="I253" s="347" t="s">
        <v>660</v>
      </c>
      <c r="J253" s="347" t="s">
        <v>661</v>
      </c>
    </row>
    <row r="254" spans="1:10" ht="65.25" customHeight="1" x14ac:dyDescent="0.25">
      <c r="A254" s="143"/>
      <c r="B254" s="143"/>
      <c r="C254" s="143"/>
      <c r="D254" s="143"/>
      <c r="E254" s="143" t="s">
        <v>696</v>
      </c>
      <c r="F254" s="180" t="s">
        <v>697</v>
      </c>
      <c r="G254" s="180" t="s">
        <v>698</v>
      </c>
      <c r="H254" s="337"/>
      <c r="I254" s="347" t="s">
        <v>660</v>
      </c>
      <c r="J254" s="347" t="s">
        <v>661</v>
      </c>
    </row>
    <row r="255" spans="1:10" ht="65.25" customHeight="1" x14ac:dyDescent="0.25">
      <c r="A255" s="143"/>
      <c r="B255" s="143"/>
      <c r="C255" s="143"/>
      <c r="D255" s="143"/>
      <c r="E255" s="143" t="s">
        <v>699</v>
      </c>
      <c r="F255" s="180" t="s">
        <v>700</v>
      </c>
      <c r="G255" s="180" t="s">
        <v>701</v>
      </c>
      <c r="H255" s="337"/>
      <c r="I255" s="347" t="s">
        <v>660</v>
      </c>
      <c r="J255" s="347" t="s">
        <v>661</v>
      </c>
    </row>
    <row r="256" spans="1:10" ht="68.25" customHeight="1" x14ac:dyDescent="0.25">
      <c r="A256" s="143"/>
      <c r="B256" s="143"/>
      <c r="C256" s="143"/>
      <c r="D256" s="143"/>
      <c r="E256" s="143" t="s">
        <v>702</v>
      </c>
      <c r="F256" s="180" t="s">
        <v>703</v>
      </c>
      <c r="G256" s="180" t="s">
        <v>704</v>
      </c>
      <c r="H256" s="337"/>
      <c r="I256" s="347" t="s">
        <v>660</v>
      </c>
      <c r="J256" s="347" t="s">
        <v>661</v>
      </c>
    </row>
    <row r="257" spans="1:10" ht="91.5" customHeight="1" x14ac:dyDescent="0.25">
      <c r="A257" s="143"/>
      <c r="B257" s="143"/>
      <c r="C257" s="143"/>
      <c r="D257" s="143"/>
      <c r="E257" s="143" t="s">
        <v>705</v>
      </c>
      <c r="F257" s="180" t="s">
        <v>706</v>
      </c>
      <c r="G257" s="185" t="s">
        <v>707</v>
      </c>
      <c r="H257" s="337"/>
      <c r="I257" s="347" t="s">
        <v>660</v>
      </c>
      <c r="J257" s="347" t="s">
        <v>661</v>
      </c>
    </row>
    <row r="258" spans="1:10" ht="90" customHeight="1" x14ac:dyDescent="0.25">
      <c r="A258" s="143"/>
      <c r="B258" s="143"/>
      <c r="C258" s="143"/>
      <c r="D258" s="143"/>
      <c r="E258" s="143" t="s">
        <v>708</v>
      </c>
      <c r="F258" s="180" t="s">
        <v>709</v>
      </c>
      <c r="G258" s="180" t="s">
        <v>710</v>
      </c>
      <c r="H258" s="337"/>
      <c r="I258" s="347" t="s">
        <v>660</v>
      </c>
      <c r="J258" s="347" t="s">
        <v>661</v>
      </c>
    </row>
    <row r="259" spans="1:10" ht="70.5" customHeight="1" x14ac:dyDescent="0.25">
      <c r="A259" s="143"/>
      <c r="B259" s="143"/>
      <c r="C259" s="143"/>
      <c r="D259" s="143"/>
      <c r="E259" s="143" t="s">
        <v>711</v>
      </c>
      <c r="F259" s="180" t="s">
        <v>712</v>
      </c>
      <c r="G259" s="180" t="s">
        <v>713</v>
      </c>
      <c r="H259" s="337"/>
      <c r="I259" s="347" t="s">
        <v>660</v>
      </c>
      <c r="J259" s="347" t="s">
        <v>661</v>
      </c>
    </row>
    <row r="260" spans="1:10" ht="86.25" customHeight="1" x14ac:dyDescent="0.25">
      <c r="A260" s="143"/>
      <c r="B260" s="143"/>
      <c r="C260" s="143"/>
      <c r="D260" s="143" t="s">
        <v>714</v>
      </c>
      <c r="E260" s="135" t="s">
        <v>715</v>
      </c>
      <c r="F260" s="180" t="s">
        <v>716</v>
      </c>
      <c r="G260" s="180" t="s">
        <v>717</v>
      </c>
      <c r="H260" s="337"/>
      <c r="I260" s="347" t="s">
        <v>660</v>
      </c>
      <c r="J260" s="347" t="s">
        <v>661</v>
      </c>
    </row>
    <row r="261" spans="1:10" ht="87" customHeight="1" x14ac:dyDescent="0.25">
      <c r="A261" s="143"/>
      <c r="B261" s="143"/>
      <c r="C261" s="143"/>
      <c r="D261" s="143"/>
      <c r="E261" s="143" t="s">
        <v>718</v>
      </c>
      <c r="F261" s="180" t="s">
        <v>719</v>
      </c>
      <c r="G261" s="186">
        <v>1</v>
      </c>
      <c r="H261" s="337"/>
      <c r="I261" s="347" t="s">
        <v>660</v>
      </c>
      <c r="J261" s="347" t="s">
        <v>661</v>
      </c>
    </row>
    <row r="262" spans="1:10" ht="81" customHeight="1" x14ac:dyDescent="0.25">
      <c r="A262" s="143"/>
      <c r="B262" s="143"/>
      <c r="C262" s="143"/>
      <c r="D262" s="143"/>
      <c r="E262" s="143" t="s">
        <v>720</v>
      </c>
      <c r="F262" s="180" t="s">
        <v>721</v>
      </c>
      <c r="G262" s="180" t="s">
        <v>722</v>
      </c>
      <c r="H262" s="337"/>
      <c r="I262" s="347" t="s">
        <v>660</v>
      </c>
      <c r="J262" s="347" t="s">
        <v>661</v>
      </c>
    </row>
    <row r="263" spans="1:10" ht="78.75" customHeight="1" x14ac:dyDescent="0.25">
      <c r="A263" s="143"/>
      <c r="B263" s="143"/>
      <c r="C263" s="143"/>
      <c r="D263" s="143"/>
      <c r="E263" s="143" t="s">
        <v>723</v>
      </c>
      <c r="F263" s="180" t="s">
        <v>721</v>
      </c>
      <c r="G263" s="186">
        <v>1</v>
      </c>
      <c r="H263" s="337"/>
      <c r="I263" s="347" t="s">
        <v>660</v>
      </c>
      <c r="J263" s="347" t="s">
        <v>661</v>
      </c>
    </row>
    <row r="264" spans="1:10" ht="106.5" customHeight="1" x14ac:dyDescent="0.25">
      <c r="A264" s="143"/>
      <c r="B264" s="143"/>
      <c r="C264" s="143"/>
      <c r="D264" s="143"/>
      <c r="E264" s="143" t="s">
        <v>724</v>
      </c>
      <c r="F264" s="180" t="s">
        <v>719</v>
      </c>
      <c r="G264" s="180" t="s">
        <v>719</v>
      </c>
      <c r="H264" s="337"/>
      <c r="I264" s="347" t="s">
        <v>660</v>
      </c>
      <c r="J264" s="347" t="s">
        <v>661</v>
      </c>
    </row>
    <row r="265" spans="1:10" ht="100.5" customHeight="1" x14ac:dyDescent="0.25">
      <c r="A265" s="143"/>
      <c r="B265" s="143"/>
      <c r="C265" s="143"/>
      <c r="D265" s="143"/>
      <c r="E265" s="143" t="s">
        <v>725</v>
      </c>
      <c r="F265" s="180" t="s">
        <v>726</v>
      </c>
      <c r="G265" s="180" t="s">
        <v>719</v>
      </c>
      <c r="H265" s="337"/>
      <c r="I265" s="347" t="s">
        <v>660</v>
      </c>
      <c r="J265" s="347" t="s">
        <v>661</v>
      </c>
    </row>
    <row r="266" spans="1:10" ht="76.5" customHeight="1" x14ac:dyDescent="0.25">
      <c r="A266" s="143"/>
      <c r="B266" s="143"/>
      <c r="C266" s="143"/>
      <c r="D266" s="143"/>
      <c r="E266" s="143" t="s">
        <v>727</v>
      </c>
      <c r="F266" s="180" t="s">
        <v>728</v>
      </c>
      <c r="G266" s="180" t="s">
        <v>729</v>
      </c>
      <c r="H266" s="337"/>
      <c r="I266" s="347" t="s">
        <v>660</v>
      </c>
      <c r="J266" s="347" t="s">
        <v>661</v>
      </c>
    </row>
    <row r="267" spans="1:10" ht="64.5" customHeight="1" x14ac:dyDescent="0.25">
      <c r="A267" s="143"/>
      <c r="B267" s="143"/>
      <c r="C267" s="143"/>
      <c r="D267" s="337"/>
      <c r="E267" s="143" t="s">
        <v>730</v>
      </c>
      <c r="F267" s="180" t="s">
        <v>731</v>
      </c>
      <c r="G267" s="180" t="s">
        <v>731</v>
      </c>
      <c r="H267" s="337"/>
      <c r="I267" s="347" t="s">
        <v>660</v>
      </c>
      <c r="J267" s="347" t="s">
        <v>661</v>
      </c>
    </row>
    <row r="268" spans="1:10" ht="43.5" customHeight="1" x14ac:dyDescent="0.25">
      <c r="A268" s="143"/>
      <c r="B268" s="143"/>
      <c r="C268" s="143"/>
      <c r="D268" s="143"/>
      <c r="E268" s="337" t="s">
        <v>732</v>
      </c>
      <c r="F268" s="180" t="s">
        <v>733</v>
      </c>
      <c r="G268" s="180" t="s">
        <v>734</v>
      </c>
      <c r="H268" s="337" t="s">
        <v>735</v>
      </c>
      <c r="I268" s="347" t="s">
        <v>660</v>
      </c>
      <c r="J268" s="347" t="s">
        <v>661</v>
      </c>
    </row>
    <row r="269" spans="1:10" ht="47.25" customHeight="1" x14ac:dyDescent="0.25">
      <c r="A269" s="143"/>
      <c r="B269" s="143"/>
      <c r="C269" s="143"/>
      <c r="D269" s="143"/>
      <c r="E269" s="337" t="s">
        <v>736</v>
      </c>
      <c r="F269" s="180" t="s">
        <v>737</v>
      </c>
      <c r="G269" s="180" t="s">
        <v>738</v>
      </c>
      <c r="H269" s="337"/>
      <c r="I269" s="347" t="s">
        <v>660</v>
      </c>
      <c r="J269" s="347" t="s">
        <v>661</v>
      </c>
    </row>
    <row r="270" spans="1:10" ht="42.75" customHeight="1" x14ac:dyDescent="0.25">
      <c r="A270" s="143"/>
      <c r="B270" s="143"/>
      <c r="C270" s="143"/>
      <c r="D270" s="143"/>
      <c r="E270" s="143" t="s">
        <v>739</v>
      </c>
      <c r="F270" s="180" t="s">
        <v>740</v>
      </c>
      <c r="G270" s="180" t="s">
        <v>740</v>
      </c>
      <c r="H270" s="337"/>
      <c r="I270" s="347" t="s">
        <v>660</v>
      </c>
      <c r="J270" s="347" t="s">
        <v>661</v>
      </c>
    </row>
    <row r="271" spans="1:10" ht="66.75" customHeight="1" x14ac:dyDescent="0.25">
      <c r="A271" s="143"/>
      <c r="B271" s="143"/>
      <c r="C271" s="143"/>
      <c r="D271" s="143" t="s">
        <v>741</v>
      </c>
      <c r="E271" s="143" t="s">
        <v>742</v>
      </c>
      <c r="F271" s="180" t="s">
        <v>743</v>
      </c>
      <c r="G271" s="180" t="s">
        <v>743</v>
      </c>
      <c r="H271" s="368"/>
      <c r="I271" s="347" t="s">
        <v>660</v>
      </c>
      <c r="J271" s="347" t="s">
        <v>661</v>
      </c>
    </row>
    <row r="272" spans="1:10" ht="61.5" customHeight="1" x14ac:dyDescent="0.25">
      <c r="A272" s="143"/>
      <c r="B272" s="143"/>
      <c r="C272" s="143"/>
      <c r="D272" s="143"/>
      <c r="E272" s="143" t="s">
        <v>744</v>
      </c>
      <c r="F272" s="189" t="s">
        <v>745</v>
      </c>
      <c r="G272" s="189" t="s">
        <v>746</v>
      </c>
      <c r="H272" s="337"/>
      <c r="I272" s="347" t="s">
        <v>660</v>
      </c>
      <c r="J272" s="347" t="s">
        <v>661</v>
      </c>
    </row>
    <row r="273" spans="1:10" ht="69.75" customHeight="1" x14ac:dyDescent="0.25">
      <c r="A273" s="143"/>
      <c r="B273" s="143"/>
      <c r="C273" s="143"/>
      <c r="D273" s="143"/>
      <c r="E273" s="143" t="s">
        <v>747</v>
      </c>
      <c r="F273" s="180" t="s">
        <v>748</v>
      </c>
      <c r="G273" s="180" t="s">
        <v>748</v>
      </c>
      <c r="H273" s="337"/>
      <c r="I273" s="347" t="s">
        <v>660</v>
      </c>
      <c r="J273" s="347" t="s">
        <v>661</v>
      </c>
    </row>
    <row r="274" spans="1:10" ht="112.5" customHeight="1" x14ac:dyDescent="0.25">
      <c r="A274" s="143"/>
      <c r="B274" s="143"/>
      <c r="C274" s="143"/>
      <c r="D274" s="143" t="s">
        <v>749</v>
      </c>
      <c r="E274" s="143" t="s">
        <v>750</v>
      </c>
      <c r="F274" s="180" t="s">
        <v>751</v>
      </c>
      <c r="G274" s="180" t="s">
        <v>752</v>
      </c>
      <c r="H274" s="337"/>
      <c r="I274" s="347" t="s">
        <v>660</v>
      </c>
      <c r="J274" s="347" t="s">
        <v>661</v>
      </c>
    </row>
    <row r="275" spans="1:10" ht="81" customHeight="1" x14ac:dyDescent="0.25">
      <c r="A275" s="143"/>
      <c r="B275" s="143"/>
      <c r="C275" s="143" t="s">
        <v>753</v>
      </c>
      <c r="D275" s="143" t="s">
        <v>754</v>
      </c>
      <c r="E275" s="143" t="s">
        <v>755</v>
      </c>
      <c r="F275" s="180" t="s">
        <v>756</v>
      </c>
      <c r="G275" s="180" t="s">
        <v>757</v>
      </c>
      <c r="H275" s="1379" t="s">
        <v>758</v>
      </c>
      <c r="I275" s="347" t="s">
        <v>660</v>
      </c>
      <c r="J275" s="347" t="s">
        <v>661</v>
      </c>
    </row>
    <row r="276" spans="1:10" ht="66.75" customHeight="1" x14ac:dyDescent="0.25">
      <c r="A276" s="143"/>
      <c r="B276" s="143"/>
      <c r="C276" s="143"/>
      <c r="D276" s="143"/>
      <c r="E276" s="143" t="s">
        <v>759</v>
      </c>
      <c r="F276" s="369">
        <v>0.9294</v>
      </c>
      <c r="G276" s="193">
        <v>1</v>
      </c>
      <c r="H276" s="1379"/>
      <c r="I276" s="347" t="s">
        <v>660</v>
      </c>
      <c r="J276" s="347" t="s">
        <v>661</v>
      </c>
    </row>
    <row r="277" spans="1:10" ht="53.25" customHeight="1" x14ac:dyDescent="0.25">
      <c r="A277" s="143"/>
      <c r="B277" s="143"/>
      <c r="C277" s="143"/>
      <c r="D277" s="143"/>
      <c r="E277" s="143" t="s">
        <v>761</v>
      </c>
      <c r="F277" s="180" t="s">
        <v>762</v>
      </c>
      <c r="G277" s="180" t="s">
        <v>763</v>
      </c>
      <c r="H277" s="1379"/>
      <c r="I277" s="347" t="s">
        <v>660</v>
      </c>
      <c r="J277" s="347" t="s">
        <v>661</v>
      </c>
    </row>
    <row r="278" spans="1:10" ht="97.5" customHeight="1" x14ac:dyDescent="0.25">
      <c r="A278" s="143"/>
      <c r="B278" s="143"/>
      <c r="C278" s="143"/>
      <c r="D278" s="143"/>
      <c r="E278" s="143" t="s">
        <v>764</v>
      </c>
      <c r="F278" s="180" t="s">
        <v>765</v>
      </c>
      <c r="G278" s="180" t="s">
        <v>766</v>
      </c>
      <c r="H278" s="1379"/>
      <c r="I278" s="347" t="s">
        <v>660</v>
      </c>
      <c r="J278" s="347" t="s">
        <v>661</v>
      </c>
    </row>
    <row r="279" spans="1:10" s="375" customFormat="1" ht="70.5" customHeight="1" x14ac:dyDescent="0.25">
      <c r="A279" s="370" t="s">
        <v>767</v>
      </c>
      <c r="B279" s="370" t="s">
        <v>768</v>
      </c>
      <c r="C279" s="371" t="s">
        <v>769</v>
      </c>
      <c r="D279" s="337" t="s">
        <v>770</v>
      </c>
      <c r="E279" s="372" t="s">
        <v>771</v>
      </c>
      <c r="F279" s="373" t="s">
        <v>772</v>
      </c>
      <c r="G279" s="373" t="s">
        <v>773</v>
      </c>
      <c r="H279" s="1380" t="s">
        <v>774</v>
      </c>
      <c r="I279" s="374"/>
      <c r="J279" s="373" t="s">
        <v>775</v>
      </c>
    </row>
    <row r="280" spans="1:10" s="375" customFormat="1" ht="72.75" customHeight="1" x14ac:dyDescent="0.25">
      <c r="A280" s="374"/>
      <c r="B280" s="374"/>
      <c r="C280" s="374"/>
      <c r="D280" s="376"/>
      <c r="E280" s="372" t="s">
        <v>776</v>
      </c>
      <c r="F280" s="373" t="s">
        <v>772</v>
      </c>
      <c r="G280" s="373" t="s">
        <v>777</v>
      </c>
      <c r="H280" s="1381"/>
      <c r="I280" s="374"/>
      <c r="J280" s="373" t="s">
        <v>775</v>
      </c>
    </row>
    <row r="281" spans="1:10" s="375" customFormat="1" ht="47.25" customHeight="1" x14ac:dyDescent="0.25">
      <c r="A281" s="374"/>
      <c r="B281" s="374"/>
      <c r="C281" s="374"/>
      <c r="D281" s="376"/>
      <c r="E281" s="372" t="s">
        <v>778</v>
      </c>
      <c r="F281" s="373" t="s">
        <v>779</v>
      </c>
      <c r="G281" s="373" t="s">
        <v>780</v>
      </c>
      <c r="H281" s="1381"/>
      <c r="I281" s="374"/>
      <c r="J281" s="373" t="s">
        <v>775</v>
      </c>
    </row>
    <row r="282" spans="1:10" s="375" customFormat="1" ht="52.5" customHeight="1" x14ac:dyDescent="0.25">
      <c r="A282" s="374"/>
      <c r="B282" s="374"/>
      <c r="C282" s="374"/>
      <c r="D282" s="376"/>
      <c r="E282" s="372" t="s">
        <v>781</v>
      </c>
      <c r="F282" s="373" t="s">
        <v>782</v>
      </c>
      <c r="G282" s="373" t="s">
        <v>783</v>
      </c>
      <c r="H282" s="1381"/>
      <c r="I282" s="374"/>
      <c r="J282" s="373" t="s">
        <v>775</v>
      </c>
    </row>
    <row r="283" spans="1:10" s="375" customFormat="1" ht="44.25" customHeight="1" x14ac:dyDescent="0.25">
      <c r="A283" s="374"/>
      <c r="B283" s="374"/>
      <c r="C283" s="374"/>
      <c r="D283" s="376"/>
      <c r="E283" s="372" t="s">
        <v>784</v>
      </c>
      <c r="F283" s="373" t="s">
        <v>438</v>
      </c>
      <c r="G283" s="373" t="s">
        <v>785</v>
      </c>
      <c r="H283" s="1381"/>
      <c r="I283" s="374"/>
      <c r="J283" s="373" t="s">
        <v>775</v>
      </c>
    </row>
    <row r="284" spans="1:10" s="375" customFormat="1" ht="42.75" customHeight="1" x14ac:dyDescent="0.25">
      <c r="A284" s="374"/>
      <c r="B284" s="374"/>
      <c r="C284" s="374"/>
      <c r="D284" s="376"/>
      <c r="E284" s="372" t="s">
        <v>786</v>
      </c>
      <c r="F284" s="373" t="s">
        <v>787</v>
      </c>
      <c r="G284" s="373" t="s">
        <v>788</v>
      </c>
      <c r="H284" s="1381"/>
      <c r="I284" s="374"/>
      <c r="J284" s="373" t="s">
        <v>775</v>
      </c>
    </row>
    <row r="285" spans="1:10" s="375" customFormat="1" ht="66" customHeight="1" x14ac:dyDescent="0.25">
      <c r="A285" s="374"/>
      <c r="B285" s="374"/>
      <c r="C285" s="371" t="s">
        <v>789</v>
      </c>
      <c r="D285" s="1337" t="s">
        <v>790</v>
      </c>
      <c r="E285" s="372" t="s">
        <v>791</v>
      </c>
      <c r="F285" s="373" t="s">
        <v>792</v>
      </c>
      <c r="G285" s="373" t="s">
        <v>793</v>
      </c>
      <c r="H285" s="1381"/>
      <c r="I285" s="374"/>
      <c r="J285" s="373" t="s">
        <v>775</v>
      </c>
    </row>
    <row r="286" spans="1:10" s="375" customFormat="1" ht="43.5" customHeight="1" x14ac:dyDescent="0.25">
      <c r="A286" s="374"/>
      <c r="B286" s="374"/>
      <c r="C286" s="374"/>
      <c r="D286" s="1338"/>
      <c r="E286" s="372" t="s">
        <v>794</v>
      </c>
      <c r="F286" s="373">
        <v>305</v>
      </c>
      <c r="G286" s="373">
        <v>381</v>
      </c>
      <c r="H286" s="1381"/>
      <c r="I286" s="374"/>
      <c r="J286" s="373" t="s">
        <v>775</v>
      </c>
    </row>
    <row r="287" spans="1:10" s="375" customFormat="1" ht="57" customHeight="1" x14ac:dyDescent="0.25">
      <c r="A287" s="374"/>
      <c r="B287" s="374"/>
      <c r="C287" s="374"/>
      <c r="D287" s="337" t="s">
        <v>795</v>
      </c>
      <c r="E287" s="372" t="s">
        <v>796</v>
      </c>
      <c r="F287" s="377" t="s">
        <v>217</v>
      </c>
      <c r="G287" s="373" t="s">
        <v>797</v>
      </c>
      <c r="H287" s="1381"/>
      <c r="I287" s="374"/>
      <c r="J287" s="373" t="s">
        <v>775</v>
      </c>
    </row>
    <row r="288" spans="1:10" s="375" customFormat="1" ht="77.25" customHeight="1" x14ac:dyDescent="0.25">
      <c r="A288" s="374"/>
      <c r="B288" s="374"/>
      <c r="C288" s="374"/>
      <c r="D288" s="337" t="s">
        <v>798</v>
      </c>
      <c r="E288" s="372" t="s">
        <v>799</v>
      </c>
      <c r="F288" s="377" t="s">
        <v>217</v>
      </c>
      <c r="G288" s="373" t="s">
        <v>800</v>
      </c>
      <c r="H288" s="1382"/>
      <c r="I288" s="374"/>
      <c r="J288" s="373" t="s">
        <v>775</v>
      </c>
    </row>
    <row r="289" spans="1:10" ht="90.75" customHeight="1" x14ac:dyDescent="0.25">
      <c r="A289" s="82" t="s">
        <v>801</v>
      </c>
      <c r="B289" s="82" t="s">
        <v>802</v>
      </c>
      <c r="C289" s="21" t="s">
        <v>803</v>
      </c>
      <c r="D289" s="143" t="s">
        <v>804</v>
      </c>
      <c r="E289" s="328" t="s">
        <v>805</v>
      </c>
      <c r="F289" s="65" t="s">
        <v>806</v>
      </c>
      <c r="G289" s="333" t="s">
        <v>807</v>
      </c>
      <c r="H289" s="192" t="s">
        <v>808</v>
      </c>
      <c r="I289" s="333" t="s">
        <v>809</v>
      </c>
      <c r="J289" s="77" t="s">
        <v>384</v>
      </c>
    </row>
    <row r="290" spans="1:10" ht="43.5" customHeight="1" x14ac:dyDescent="0.25">
      <c r="A290" s="82"/>
      <c r="B290" s="82"/>
      <c r="C290" s="21"/>
      <c r="D290" s="143"/>
      <c r="E290" s="328" t="s">
        <v>810</v>
      </c>
      <c r="F290" s="333" t="s">
        <v>811</v>
      </c>
      <c r="G290" s="333" t="s">
        <v>812</v>
      </c>
      <c r="H290" s="192" t="s">
        <v>813</v>
      </c>
      <c r="I290" s="333" t="s">
        <v>809</v>
      </c>
      <c r="J290" s="77" t="s">
        <v>384</v>
      </c>
    </row>
    <row r="291" spans="1:10" ht="81" customHeight="1" x14ac:dyDescent="0.25">
      <c r="A291" s="82"/>
      <c r="B291" s="82"/>
      <c r="C291" s="21"/>
      <c r="D291" s="143"/>
      <c r="E291" s="41" t="s">
        <v>814</v>
      </c>
      <c r="F291" s="347" t="s">
        <v>815</v>
      </c>
      <c r="G291" s="347" t="s">
        <v>816</v>
      </c>
      <c r="H291" s="22" t="s">
        <v>817</v>
      </c>
      <c r="I291" s="333" t="s">
        <v>809</v>
      </c>
      <c r="J291" s="77" t="s">
        <v>384</v>
      </c>
    </row>
    <row r="292" spans="1:10" ht="57.75" customHeight="1" x14ac:dyDescent="0.25">
      <c r="A292" s="82"/>
      <c r="B292" s="82"/>
      <c r="C292" s="21"/>
      <c r="D292" s="143"/>
      <c r="E292" s="328" t="s">
        <v>818</v>
      </c>
      <c r="F292" s="193">
        <v>0</v>
      </c>
      <c r="G292" s="65" t="s">
        <v>819</v>
      </c>
      <c r="H292" s="22" t="s">
        <v>820</v>
      </c>
      <c r="I292" s="333" t="s">
        <v>809</v>
      </c>
      <c r="J292" s="77" t="s">
        <v>384</v>
      </c>
    </row>
    <row r="293" spans="1:10" ht="55.5" customHeight="1" x14ac:dyDescent="0.25">
      <c r="A293" s="82"/>
      <c r="B293" s="82"/>
      <c r="C293" s="21"/>
      <c r="D293" s="143"/>
      <c r="E293" s="328" t="s">
        <v>821</v>
      </c>
      <c r="F293" s="333" t="s">
        <v>822</v>
      </c>
      <c r="G293" s="333" t="s">
        <v>823</v>
      </c>
      <c r="H293" s="378"/>
      <c r="I293" s="333" t="s">
        <v>809</v>
      </c>
      <c r="J293" s="77" t="s">
        <v>384</v>
      </c>
    </row>
    <row r="294" spans="1:10" ht="45" customHeight="1" x14ac:dyDescent="0.25">
      <c r="A294" s="82"/>
      <c r="B294" s="82"/>
      <c r="C294" s="21"/>
      <c r="D294" s="143"/>
      <c r="E294" s="328" t="s">
        <v>824</v>
      </c>
      <c r="F294" s="193" t="s">
        <v>825</v>
      </c>
      <c r="G294" s="347" t="s">
        <v>826</v>
      </c>
      <c r="H294" s="378"/>
      <c r="I294" s="333" t="s">
        <v>809</v>
      </c>
      <c r="J294" s="77" t="s">
        <v>384</v>
      </c>
    </row>
    <row r="295" spans="1:10" ht="78" customHeight="1" x14ac:dyDescent="0.25">
      <c r="A295" s="82"/>
      <c r="B295" s="82"/>
      <c r="C295" s="21"/>
      <c r="D295" s="143"/>
      <c r="E295" s="41" t="s">
        <v>827</v>
      </c>
      <c r="F295" s="65" t="s">
        <v>807</v>
      </c>
      <c r="G295" s="65">
        <v>1</v>
      </c>
      <c r="H295" s="378"/>
      <c r="I295" s="333" t="s">
        <v>809</v>
      </c>
      <c r="J295" s="77" t="s">
        <v>384</v>
      </c>
    </row>
    <row r="296" spans="1:10" ht="53.25" customHeight="1" x14ac:dyDescent="0.25">
      <c r="A296" s="82"/>
      <c r="B296" s="82"/>
      <c r="C296" s="21" t="s">
        <v>828</v>
      </c>
      <c r="D296" s="143"/>
      <c r="E296" s="328" t="s">
        <v>829</v>
      </c>
      <c r="F296" s="193">
        <v>0</v>
      </c>
      <c r="G296" s="193">
        <v>0.5</v>
      </c>
      <c r="H296" s="378"/>
      <c r="I296" s="333" t="s">
        <v>809</v>
      </c>
      <c r="J296" s="77" t="s">
        <v>384</v>
      </c>
    </row>
    <row r="297" spans="1:10" ht="39" customHeight="1" x14ac:dyDescent="0.25">
      <c r="A297" s="82"/>
      <c r="B297" s="82"/>
      <c r="C297" s="21"/>
      <c r="D297" s="143"/>
      <c r="E297" s="328" t="s">
        <v>830</v>
      </c>
      <c r="F297" s="193">
        <v>0.95</v>
      </c>
      <c r="G297" s="193">
        <v>1</v>
      </c>
      <c r="H297" s="378"/>
      <c r="I297" s="333" t="s">
        <v>809</v>
      </c>
      <c r="J297" s="77" t="s">
        <v>384</v>
      </c>
    </row>
    <row r="298" spans="1:10" ht="37.5" customHeight="1" x14ac:dyDescent="0.25">
      <c r="A298" s="82"/>
      <c r="B298" s="82"/>
      <c r="C298" s="21"/>
      <c r="D298" s="143"/>
      <c r="E298" s="328" t="s">
        <v>831</v>
      </c>
      <c r="F298" s="347" t="s">
        <v>832</v>
      </c>
      <c r="G298" s="195" t="s">
        <v>833</v>
      </c>
      <c r="H298" s="378"/>
      <c r="I298" s="333" t="s">
        <v>809</v>
      </c>
      <c r="J298" s="77" t="s">
        <v>384</v>
      </c>
    </row>
    <row r="299" spans="1:10" ht="46.5" customHeight="1" x14ac:dyDescent="0.25">
      <c r="A299" s="82"/>
      <c r="B299" s="82"/>
      <c r="C299" s="21"/>
      <c r="D299" s="143"/>
      <c r="E299" s="41" t="s">
        <v>834</v>
      </c>
      <c r="F299" s="195" t="s">
        <v>835</v>
      </c>
      <c r="G299" s="195" t="s">
        <v>836</v>
      </c>
      <c r="H299" s="378"/>
      <c r="I299" s="333" t="s">
        <v>809</v>
      </c>
      <c r="J299" s="333" t="s">
        <v>384</v>
      </c>
    </row>
    <row r="300" spans="1:10" s="375" customFormat="1" ht="93.75" customHeight="1" x14ac:dyDescent="0.25">
      <c r="A300" s="370" t="s">
        <v>837</v>
      </c>
      <c r="B300" s="370" t="s">
        <v>838</v>
      </c>
      <c r="C300" s="371" t="s">
        <v>839</v>
      </c>
      <c r="D300" s="337" t="s">
        <v>840</v>
      </c>
      <c r="E300" s="372" t="s">
        <v>841</v>
      </c>
      <c r="F300" s="379">
        <v>0.43</v>
      </c>
      <c r="G300" s="379">
        <v>0.88</v>
      </c>
      <c r="H300" s="371" t="s">
        <v>842</v>
      </c>
      <c r="I300" s="380" t="s">
        <v>843</v>
      </c>
      <c r="J300" s="373" t="s">
        <v>844</v>
      </c>
    </row>
    <row r="301" spans="1:10" ht="63" customHeight="1" x14ac:dyDescent="0.25">
      <c r="A301" s="82"/>
      <c r="B301" s="82"/>
      <c r="C301" s="335"/>
      <c r="D301" s="182"/>
      <c r="E301" s="328" t="s">
        <v>845</v>
      </c>
      <c r="F301" s="324">
        <v>0.51</v>
      </c>
      <c r="G301" s="324">
        <v>1</v>
      </c>
      <c r="H301" s="343" t="s">
        <v>846</v>
      </c>
      <c r="I301" s="333" t="s">
        <v>843</v>
      </c>
      <c r="J301" s="319" t="s">
        <v>844</v>
      </c>
    </row>
    <row r="302" spans="1:10" ht="62.25" customHeight="1" x14ac:dyDescent="0.25">
      <c r="A302" s="22"/>
      <c r="B302" s="22"/>
      <c r="C302" s="22"/>
      <c r="D302" s="143"/>
      <c r="E302" s="22" t="s">
        <v>847</v>
      </c>
      <c r="F302" s="196">
        <v>0</v>
      </c>
      <c r="G302" s="196">
        <v>1</v>
      </c>
      <c r="H302" s="1335" t="s">
        <v>848</v>
      </c>
      <c r="I302" s="1329" t="s">
        <v>1855</v>
      </c>
      <c r="J302" s="1369" t="s">
        <v>850</v>
      </c>
    </row>
    <row r="303" spans="1:10" ht="81" customHeight="1" x14ac:dyDescent="0.25">
      <c r="A303" s="22"/>
      <c r="B303" s="22"/>
      <c r="C303" s="22"/>
      <c r="D303" s="143"/>
      <c r="E303" s="57" t="s">
        <v>851</v>
      </c>
      <c r="F303" s="34">
        <v>1</v>
      </c>
      <c r="G303" s="34">
        <v>1</v>
      </c>
      <c r="H303" s="1336"/>
      <c r="I303" s="1331"/>
      <c r="J303" s="1369"/>
    </row>
    <row r="304" spans="1:10" ht="82.5" customHeight="1" x14ac:dyDescent="0.25">
      <c r="A304" s="82"/>
      <c r="B304" s="82"/>
      <c r="C304" s="335"/>
      <c r="D304" s="182"/>
      <c r="E304" s="328" t="s">
        <v>852</v>
      </c>
      <c r="F304" s="197" t="s">
        <v>853</v>
      </c>
      <c r="G304" s="197" t="s">
        <v>853</v>
      </c>
      <c r="H304" s="337"/>
      <c r="I304" s="333" t="s">
        <v>843</v>
      </c>
      <c r="J304" s="319" t="s">
        <v>844</v>
      </c>
    </row>
    <row r="305" spans="1:10" ht="69.75" customHeight="1" x14ac:dyDescent="0.25">
      <c r="A305" s="82"/>
      <c r="B305" s="82"/>
      <c r="C305" s="335"/>
      <c r="D305" s="337" t="s">
        <v>854</v>
      </c>
      <c r="E305" s="328" t="s">
        <v>855</v>
      </c>
      <c r="F305" s="324">
        <v>0.51</v>
      </c>
      <c r="G305" s="324">
        <v>0.77</v>
      </c>
      <c r="H305" s="21" t="s">
        <v>856</v>
      </c>
      <c r="I305" s="333" t="s">
        <v>843</v>
      </c>
      <c r="J305" s="319" t="s">
        <v>844</v>
      </c>
    </row>
    <row r="306" spans="1:10" ht="65.25" customHeight="1" x14ac:dyDescent="0.25">
      <c r="A306" s="82"/>
      <c r="B306" s="82"/>
      <c r="C306" s="335"/>
      <c r="D306" s="182"/>
      <c r="E306" s="328" t="s">
        <v>857</v>
      </c>
      <c r="F306" s="197" t="s">
        <v>858</v>
      </c>
      <c r="G306" s="197" t="s">
        <v>858</v>
      </c>
      <c r="H306" s="21"/>
      <c r="I306" s="333" t="s">
        <v>843</v>
      </c>
      <c r="J306" s="319" t="s">
        <v>844</v>
      </c>
    </row>
    <row r="307" spans="1:10" ht="87.75" customHeight="1" x14ac:dyDescent="0.25">
      <c r="A307" s="22" t="s">
        <v>859</v>
      </c>
      <c r="B307" s="22" t="s">
        <v>860</v>
      </c>
      <c r="C307" s="22" t="s">
        <v>861</v>
      </c>
      <c r="D307" s="337" t="s">
        <v>862</v>
      </c>
      <c r="E307" s="335" t="s">
        <v>863</v>
      </c>
      <c r="F307" s="1373"/>
      <c r="G307" s="1374"/>
      <c r="H307" s="1375" t="s">
        <v>864</v>
      </c>
      <c r="I307" s="1349" t="s">
        <v>865</v>
      </c>
      <c r="J307" s="321"/>
    </row>
    <row r="308" spans="1:10" ht="30" customHeight="1" x14ac:dyDescent="0.25">
      <c r="A308" s="22"/>
      <c r="B308" s="22"/>
      <c r="C308" s="22"/>
      <c r="D308" s="337"/>
      <c r="E308" s="105" t="s">
        <v>866</v>
      </c>
      <c r="F308" s="31">
        <v>0.49</v>
      </c>
      <c r="G308" s="53">
        <v>0.79</v>
      </c>
      <c r="H308" s="1376"/>
      <c r="I308" s="1349"/>
      <c r="J308" s="322" t="s">
        <v>867</v>
      </c>
    </row>
    <row r="309" spans="1:10" ht="36.75" customHeight="1" x14ac:dyDescent="0.25">
      <c r="A309" s="22"/>
      <c r="B309" s="22"/>
      <c r="C309" s="22"/>
      <c r="D309" s="337"/>
      <c r="E309" s="105" t="s">
        <v>868</v>
      </c>
      <c r="F309" s="31">
        <v>0.51</v>
      </c>
      <c r="G309" s="53">
        <v>0.81</v>
      </c>
      <c r="H309" s="1376"/>
      <c r="I309" s="1349"/>
      <c r="J309" s="322" t="s">
        <v>867</v>
      </c>
    </row>
    <row r="310" spans="1:10" ht="24.75" customHeight="1" x14ac:dyDescent="0.25">
      <c r="A310" s="22"/>
      <c r="B310" s="22"/>
      <c r="C310" s="22"/>
      <c r="D310" s="337"/>
      <c r="E310" s="198" t="s">
        <v>869</v>
      </c>
      <c r="F310" s="199">
        <v>0.56000000000000005</v>
      </c>
      <c r="G310" s="200">
        <v>0.86</v>
      </c>
      <c r="H310" s="1376"/>
      <c r="I310" s="1349"/>
      <c r="J310" s="322" t="s">
        <v>867</v>
      </c>
    </row>
    <row r="311" spans="1:10" ht="65.25" customHeight="1" x14ac:dyDescent="0.25">
      <c r="A311" s="22"/>
      <c r="B311" s="22"/>
      <c r="C311" s="22"/>
      <c r="D311" s="184"/>
      <c r="E311" s="335" t="s">
        <v>870</v>
      </c>
      <c r="F311" s="322">
        <v>1</v>
      </c>
      <c r="G311" s="334">
        <v>1</v>
      </c>
      <c r="H311" s="22" t="s">
        <v>864</v>
      </c>
      <c r="I311" s="322" t="s">
        <v>865</v>
      </c>
      <c r="J311" s="322" t="s">
        <v>867</v>
      </c>
    </row>
    <row r="312" spans="1:10" ht="55.5" customHeight="1" x14ac:dyDescent="0.25">
      <c r="A312" s="22"/>
      <c r="B312" s="22"/>
      <c r="C312" s="22"/>
      <c r="D312" s="184"/>
      <c r="E312" s="335" t="s">
        <v>871</v>
      </c>
      <c r="F312" s="53">
        <v>0.25</v>
      </c>
      <c r="G312" s="203">
        <v>0.85</v>
      </c>
      <c r="H312" s="22"/>
      <c r="I312" s="322" t="s">
        <v>865</v>
      </c>
      <c r="J312" s="322" t="s">
        <v>867</v>
      </c>
    </row>
    <row r="313" spans="1:10" ht="66.75" customHeight="1" x14ac:dyDescent="0.25">
      <c r="A313" s="22"/>
      <c r="B313" s="22"/>
      <c r="C313" s="22"/>
      <c r="D313" s="184"/>
      <c r="E313" s="335" t="s">
        <v>872</v>
      </c>
      <c r="F313" s="31" t="s">
        <v>873</v>
      </c>
      <c r="G313" s="203">
        <v>0.9</v>
      </c>
      <c r="H313" s="22" t="s">
        <v>874</v>
      </c>
      <c r="I313" s="322" t="s">
        <v>865</v>
      </c>
      <c r="J313" s="322" t="s">
        <v>867</v>
      </c>
    </row>
    <row r="314" spans="1:10" ht="72" customHeight="1" x14ac:dyDescent="0.25">
      <c r="A314" s="22"/>
      <c r="B314" s="22"/>
      <c r="C314" s="22"/>
      <c r="D314" s="184"/>
      <c r="E314" s="335" t="s">
        <v>875</v>
      </c>
      <c r="F314" s="31" t="s">
        <v>876</v>
      </c>
      <c r="G314" s="204" t="s">
        <v>877</v>
      </c>
      <c r="H314" s="22" t="s">
        <v>878</v>
      </c>
      <c r="I314" s="322" t="s">
        <v>865</v>
      </c>
      <c r="J314" s="322" t="s">
        <v>867</v>
      </c>
    </row>
    <row r="315" spans="1:10" ht="33.75" customHeight="1" x14ac:dyDescent="0.25">
      <c r="A315" s="22"/>
      <c r="B315" s="22"/>
      <c r="C315" s="22"/>
      <c r="D315" s="184"/>
      <c r="E315" s="335" t="s">
        <v>879</v>
      </c>
      <c r="F315" s="322">
        <v>19</v>
      </c>
      <c r="G315" s="334">
        <v>1</v>
      </c>
      <c r="H315" s="22"/>
      <c r="I315" s="29"/>
      <c r="J315" s="322" t="s">
        <v>867</v>
      </c>
    </row>
    <row r="316" spans="1:10" ht="50.25" customHeight="1" x14ac:dyDescent="0.25">
      <c r="A316" s="22"/>
      <c r="B316" s="22"/>
      <c r="C316" s="22"/>
      <c r="D316" s="184"/>
      <c r="E316" s="335" t="s">
        <v>880</v>
      </c>
      <c r="F316" s="53">
        <v>0.49</v>
      </c>
      <c r="G316" s="203">
        <v>0.19</v>
      </c>
      <c r="H316" s="22"/>
      <c r="I316" s="29"/>
      <c r="J316" s="322" t="s">
        <v>867</v>
      </c>
    </row>
    <row r="317" spans="1:10" ht="40.5" customHeight="1" x14ac:dyDescent="0.25">
      <c r="A317" s="22"/>
      <c r="B317" s="22"/>
      <c r="C317" s="22"/>
      <c r="D317" s="184"/>
      <c r="E317" s="335" t="s">
        <v>881</v>
      </c>
      <c r="F317" s="53">
        <v>0.31</v>
      </c>
      <c r="G317" s="203">
        <v>0.61</v>
      </c>
      <c r="H317" s="22"/>
      <c r="I317" s="29"/>
      <c r="J317" s="322" t="s">
        <v>867</v>
      </c>
    </row>
    <row r="318" spans="1:10" ht="40.5" customHeight="1" x14ac:dyDescent="0.25">
      <c r="A318" s="22"/>
      <c r="B318" s="22"/>
      <c r="C318" s="22"/>
      <c r="D318" s="184"/>
      <c r="E318" s="335" t="s">
        <v>882</v>
      </c>
      <c r="F318" s="322" t="s">
        <v>883</v>
      </c>
      <c r="G318" s="334" t="s">
        <v>884</v>
      </c>
      <c r="H318" s="22"/>
      <c r="I318" s="29"/>
      <c r="J318" s="322" t="s">
        <v>867</v>
      </c>
    </row>
    <row r="319" spans="1:10" ht="102.75" customHeight="1" x14ac:dyDescent="0.25">
      <c r="A319" s="22"/>
      <c r="B319" s="22"/>
      <c r="C319" s="22"/>
      <c r="D319" s="184"/>
      <c r="E319" s="335" t="s">
        <v>885</v>
      </c>
      <c r="F319" s="53">
        <v>0.63</v>
      </c>
      <c r="G319" s="203">
        <v>0.81</v>
      </c>
      <c r="H319" s="22" t="s">
        <v>886</v>
      </c>
      <c r="I319" s="322" t="s">
        <v>865</v>
      </c>
      <c r="J319" s="322" t="s">
        <v>867</v>
      </c>
    </row>
    <row r="320" spans="1:10" ht="93.75" customHeight="1" x14ac:dyDescent="0.25">
      <c r="A320" s="22"/>
      <c r="B320" s="22"/>
      <c r="C320" s="22"/>
      <c r="D320" s="184"/>
      <c r="E320" s="335" t="s">
        <v>887</v>
      </c>
      <c r="F320" s="53">
        <v>0.36</v>
      </c>
      <c r="G320" s="203">
        <v>0.72</v>
      </c>
      <c r="H320" s="22"/>
      <c r="I320" s="322" t="s">
        <v>865</v>
      </c>
      <c r="J320" s="322" t="s">
        <v>867</v>
      </c>
    </row>
    <row r="321" spans="1:12" ht="84.75" customHeight="1" x14ac:dyDescent="0.25">
      <c r="A321" s="205" t="s">
        <v>888</v>
      </c>
      <c r="B321" s="205" t="s">
        <v>889</v>
      </c>
      <c r="C321" s="205" t="s">
        <v>890</v>
      </c>
      <c r="D321" s="71" t="s">
        <v>891</v>
      </c>
      <c r="E321" s="340" t="s">
        <v>892</v>
      </c>
      <c r="F321" s="112" t="s">
        <v>893</v>
      </c>
      <c r="G321" s="112" t="s">
        <v>893</v>
      </c>
      <c r="H321" s="143" t="s">
        <v>894</v>
      </c>
      <c r="I321" s="322" t="s">
        <v>895</v>
      </c>
      <c r="J321" s="322" t="s">
        <v>896</v>
      </c>
      <c r="L321" s="143"/>
    </row>
    <row r="322" spans="1:12" ht="93.75" customHeight="1" x14ac:dyDescent="0.25">
      <c r="A322" s="205"/>
      <c r="B322" s="205"/>
      <c r="C322" s="205"/>
      <c r="D322" s="71"/>
      <c r="E322" s="340" t="s">
        <v>897</v>
      </c>
      <c r="F322" s="112" t="s">
        <v>893</v>
      </c>
      <c r="G322" s="333" t="s">
        <v>898</v>
      </c>
      <c r="H322" s="143"/>
      <c r="I322" s="322" t="s">
        <v>895</v>
      </c>
      <c r="J322" s="322" t="s">
        <v>896</v>
      </c>
      <c r="L322" s="143"/>
    </row>
    <row r="323" spans="1:12" ht="86.25" customHeight="1" x14ac:dyDescent="0.25">
      <c r="A323" s="205"/>
      <c r="B323" s="205"/>
      <c r="C323" s="205"/>
      <c r="D323" s="71"/>
      <c r="E323" s="340" t="s">
        <v>901</v>
      </c>
      <c r="F323" s="85">
        <v>1</v>
      </c>
      <c r="G323" s="34">
        <v>1</v>
      </c>
      <c r="H323" s="22"/>
      <c r="I323" s="322" t="s">
        <v>895</v>
      </c>
      <c r="J323" s="322" t="s">
        <v>896</v>
      </c>
      <c r="L323" s="22"/>
    </row>
    <row r="324" spans="1:12" ht="54" customHeight="1" x14ac:dyDescent="0.25">
      <c r="A324" s="205"/>
      <c r="B324" s="205"/>
      <c r="C324" s="205"/>
      <c r="D324" s="71"/>
      <c r="E324" s="340" t="s">
        <v>903</v>
      </c>
      <c r="F324" s="85">
        <v>0.9</v>
      </c>
      <c r="G324" s="34">
        <v>0.96</v>
      </c>
      <c r="H324" s="301"/>
      <c r="I324" s="1369" t="s">
        <v>895</v>
      </c>
      <c r="J324" s="322" t="s">
        <v>896</v>
      </c>
      <c r="L324" s="1347"/>
    </row>
    <row r="325" spans="1:12" ht="77.25" customHeight="1" x14ac:dyDescent="0.25">
      <c r="A325" s="205"/>
      <c r="B325" s="205"/>
      <c r="C325" s="205"/>
      <c r="D325" s="71"/>
      <c r="E325" s="340" t="s">
        <v>905</v>
      </c>
      <c r="F325" s="85">
        <v>1</v>
      </c>
      <c r="G325" s="65">
        <v>1</v>
      </c>
      <c r="H325" s="57"/>
      <c r="I325" s="1369"/>
      <c r="J325" s="322" t="s">
        <v>896</v>
      </c>
      <c r="L325" s="1347"/>
    </row>
    <row r="326" spans="1:12" ht="68.25" customHeight="1" x14ac:dyDescent="0.25">
      <c r="A326" s="205"/>
      <c r="B326" s="205"/>
      <c r="C326" s="205"/>
      <c r="D326" s="71"/>
      <c r="E326" s="22" t="s">
        <v>906</v>
      </c>
      <c r="F326" s="1377"/>
      <c r="G326" s="1378"/>
      <c r="H326" s="143"/>
      <c r="I326" s="322"/>
      <c r="J326" s="322"/>
      <c r="L326" s="143"/>
    </row>
    <row r="327" spans="1:12" ht="41.25" customHeight="1" x14ac:dyDescent="0.25">
      <c r="A327" s="205"/>
      <c r="B327" s="205"/>
      <c r="C327" s="205"/>
      <c r="D327" s="71"/>
      <c r="E327" s="22" t="s">
        <v>907</v>
      </c>
      <c r="F327" s="53">
        <v>0.23</v>
      </c>
      <c r="G327" s="53">
        <v>1</v>
      </c>
      <c r="H327" s="335"/>
      <c r="I327" s="322" t="s">
        <v>895</v>
      </c>
      <c r="J327" s="322" t="s">
        <v>896</v>
      </c>
      <c r="L327" s="335"/>
    </row>
    <row r="328" spans="1:12" ht="31.5" customHeight="1" x14ac:dyDescent="0.25">
      <c r="A328" s="205"/>
      <c r="B328" s="205"/>
      <c r="C328" s="205"/>
      <c r="D328" s="71"/>
      <c r="E328" s="22" t="s">
        <v>908</v>
      </c>
      <c r="F328" s="53">
        <v>0</v>
      </c>
      <c r="G328" s="53">
        <v>1</v>
      </c>
      <c r="H328" s="335"/>
      <c r="I328" s="322" t="s">
        <v>895</v>
      </c>
      <c r="J328" s="322" t="s">
        <v>896</v>
      </c>
      <c r="L328" s="335"/>
    </row>
    <row r="329" spans="1:12" ht="37.5" customHeight="1" x14ac:dyDescent="0.25">
      <c r="A329" s="205"/>
      <c r="B329" s="205"/>
      <c r="C329" s="205"/>
      <c r="D329" s="71"/>
      <c r="E329" s="22" t="s">
        <v>909</v>
      </c>
      <c r="F329" s="53">
        <v>0.3</v>
      </c>
      <c r="G329" s="53">
        <v>0.75</v>
      </c>
      <c r="H329" s="335"/>
      <c r="I329" s="322" t="s">
        <v>895</v>
      </c>
      <c r="J329" s="322" t="s">
        <v>896</v>
      </c>
      <c r="L329" s="335"/>
    </row>
    <row r="330" spans="1:12" ht="135.75" customHeight="1" x14ac:dyDescent="0.25">
      <c r="A330" s="22"/>
      <c r="B330" s="22"/>
      <c r="C330" s="335"/>
      <c r="D330" s="337"/>
      <c r="E330" s="329" t="s">
        <v>910</v>
      </c>
      <c r="F330" s="132" t="s">
        <v>911</v>
      </c>
      <c r="G330" s="322" t="s">
        <v>912</v>
      </c>
      <c r="H330" s="22" t="s">
        <v>913</v>
      </c>
      <c r="I330" s="326" t="s">
        <v>1855</v>
      </c>
      <c r="J330" s="319" t="s">
        <v>914</v>
      </c>
    </row>
    <row r="331" spans="1:12" ht="51" x14ac:dyDescent="0.25">
      <c r="A331" s="205"/>
      <c r="B331" s="205"/>
      <c r="C331" s="205"/>
      <c r="D331" s="71"/>
      <c r="E331" s="207" t="s">
        <v>917</v>
      </c>
      <c r="F331" s="85">
        <v>0.98</v>
      </c>
      <c r="G331" s="65">
        <v>0.99</v>
      </c>
      <c r="H331" s="57" t="s">
        <v>927</v>
      </c>
      <c r="I331" s="322"/>
      <c r="J331" s="322" t="s">
        <v>896</v>
      </c>
      <c r="L331" s="335"/>
    </row>
    <row r="332" spans="1:12" ht="63" customHeight="1" x14ac:dyDescent="0.25">
      <c r="A332" s="205"/>
      <c r="B332" s="205"/>
      <c r="C332" s="205"/>
      <c r="D332" s="71"/>
      <c r="E332" s="22" t="s">
        <v>918</v>
      </c>
      <c r="F332" s="53">
        <v>0.15</v>
      </c>
      <c r="G332" s="65">
        <v>1</v>
      </c>
      <c r="H332" s="335" t="s">
        <v>902</v>
      </c>
      <c r="I332" s="322" t="s">
        <v>895</v>
      </c>
      <c r="J332" s="322" t="s">
        <v>896</v>
      </c>
      <c r="L332" s="335"/>
    </row>
    <row r="333" spans="1:12" ht="63" customHeight="1" x14ac:dyDescent="0.25">
      <c r="A333" s="205"/>
      <c r="B333" s="205"/>
      <c r="C333" s="205"/>
      <c r="D333" s="70" t="s">
        <v>919</v>
      </c>
      <c r="E333" s="340" t="s">
        <v>920</v>
      </c>
      <c r="F333" s="112" t="s">
        <v>380</v>
      </c>
      <c r="G333" s="52" t="s">
        <v>921</v>
      </c>
      <c r="H333" s="301" t="s">
        <v>916</v>
      </c>
      <c r="I333" s="1369" t="s">
        <v>895</v>
      </c>
      <c r="J333" s="322" t="s">
        <v>896</v>
      </c>
      <c r="L333" s="1347"/>
    </row>
    <row r="334" spans="1:12" ht="57" customHeight="1" x14ac:dyDescent="0.25">
      <c r="A334" s="205"/>
      <c r="B334" s="205"/>
      <c r="C334" s="205"/>
      <c r="D334" s="381"/>
      <c r="E334" s="340" t="s">
        <v>923</v>
      </c>
      <c r="F334" s="112" t="s">
        <v>380</v>
      </c>
      <c r="G334" s="319" t="s">
        <v>924</v>
      </c>
      <c r="H334" s="57" t="s">
        <v>922</v>
      </c>
      <c r="I334" s="1369"/>
      <c r="J334" s="322" t="s">
        <v>896</v>
      </c>
      <c r="L334" s="1347"/>
    </row>
    <row r="335" spans="1:12" ht="90.75" customHeight="1" x14ac:dyDescent="0.25">
      <c r="A335" s="205"/>
      <c r="B335" s="205"/>
      <c r="C335" s="205"/>
      <c r="D335" s="62" t="s">
        <v>925</v>
      </c>
      <c r="E335" s="340" t="s">
        <v>926</v>
      </c>
      <c r="F335" s="85">
        <v>0</v>
      </c>
      <c r="G335" s="65">
        <v>1</v>
      </c>
      <c r="H335" s="301" t="s">
        <v>943</v>
      </c>
      <c r="I335" s="49" t="s">
        <v>938</v>
      </c>
      <c r="J335" s="322" t="s">
        <v>896</v>
      </c>
      <c r="L335" s="1347"/>
    </row>
    <row r="336" spans="1:12" ht="66" customHeight="1" x14ac:dyDescent="0.25">
      <c r="A336" s="205"/>
      <c r="B336" s="205"/>
      <c r="C336" s="205"/>
      <c r="D336" s="71" t="s">
        <v>928</v>
      </c>
      <c r="E336" s="207" t="s">
        <v>929</v>
      </c>
      <c r="F336" s="85">
        <v>0.3</v>
      </c>
      <c r="G336" s="65">
        <v>0.6</v>
      </c>
      <c r="H336" s="57" t="s">
        <v>937</v>
      </c>
      <c r="I336" s="49" t="s">
        <v>938</v>
      </c>
      <c r="J336" s="322" t="s">
        <v>896</v>
      </c>
      <c r="L336" s="1347"/>
    </row>
    <row r="337" spans="1:12" ht="77.25" customHeight="1" x14ac:dyDescent="0.25">
      <c r="A337" s="205"/>
      <c r="B337" s="205"/>
      <c r="C337" s="205"/>
      <c r="D337" s="71" t="s">
        <v>930</v>
      </c>
      <c r="E337" s="22" t="s">
        <v>931</v>
      </c>
      <c r="F337" s="34">
        <v>0.5</v>
      </c>
      <c r="G337" s="34">
        <v>0.65</v>
      </c>
      <c r="H337" s="382" t="s">
        <v>119</v>
      </c>
      <c r="I337" s="1369" t="s">
        <v>895</v>
      </c>
      <c r="J337" s="322" t="s">
        <v>896</v>
      </c>
      <c r="L337" s="1370" t="s">
        <v>922</v>
      </c>
    </row>
    <row r="338" spans="1:12" ht="75.75" customHeight="1" x14ac:dyDescent="0.25">
      <c r="A338" s="205"/>
      <c r="B338" s="205"/>
      <c r="C338" s="205"/>
      <c r="D338" s="71"/>
      <c r="E338" s="340" t="s">
        <v>932</v>
      </c>
      <c r="F338" s="34">
        <v>0.75</v>
      </c>
      <c r="G338" s="34">
        <v>0.9</v>
      </c>
      <c r="H338" s="22" t="s">
        <v>904</v>
      </c>
      <c r="I338" s="1369"/>
      <c r="J338" s="322" t="s">
        <v>896</v>
      </c>
      <c r="L338" s="1371"/>
    </row>
    <row r="339" spans="1:12" ht="51.75" customHeight="1" x14ac:dyDescent="0.25">
      <c r="A339" s="205"/>
      <c r="B339" s="205"/>
      <c r="C339" s="205"/>
      <c r="D339" s="383"/>
      <c r="E339" s="340" t="s">
        <v>933</v>
      </c>
      <c r="F339" s="34">
        <v>0.75</v>
      </c>
      <c r="G339" s="34">
        <v>0.9</v>
      </c>
      <c r="H339" s="382"/>
      <c r="I339" s="1372"/>
      <c r="J339" s="322" t="s">
        <v>896</v>
      </c>
      <c r="L339" s="1370"/>
    </row>
    <row r="340" spans="1:12" ht="57.75" customHeight="1" x14ac:dyDescent="0.25">
      <c r="A340" s="205"/>
      <c r="B340" s="205"/>
      <c r="C340" s="205"/>
      <c r="D340" s="383"/>
      <c r="E340" s="340" t="s">
        <v>935</v>
      </c>
      <c r="F340" s="34">
        <v>0.5</v>
      </c>
      <c r="G340" s="34">
        <v>0.6</v>
      </c>
      <c r="H340" s="384"/>
      <c r="I340" s="1372"/>
      <c r="J340" s="322" t="s">
        <v>896</v>
      </c>
      <c r="L340" s="1370"/>
    </row>
    <row r="341" spans="1:12" ht="53.25" customHeight="1" x14ac:dyDescent="0.25">
      <c r="A341" s="205"/>
      <c r="B341" s="205"/>
      <c r="C341" s="205"/>
      <c r="D341" s="383"/>
      <c r="E341" s="340" t="s">
        <v>936</v>
      </c>
      <c r="F341" s="34">
        <v>0.5</v>
      </c>
      <c r="G341" s="34">
        <v>0.6</v>
      </c>
      <c r="H341" s="385"/>
      <c r="I341" s="1363"/>
      <c r="J341" s="322" t="s">
        <v>896</v>
      </c>
      <c r="L341" s="1364"/>
    </row>
    <row r="342" spans="1:12" ht="53.25" customHeight="1" x14ac:dyDescent="0.25">
      <c r="A342" s="205"/>
      <c r="B342" s="205"/>
      <c r="C342" s="205"/>
      <c r="D342" s="383"/>
      <c r="E342" s="340" t="s">
        <v>939</v>
      </c>
      <c r="F342" s="34">
        <v>0.2</v>
      </c>
      <c r="G342" s="34">
        <v>1</v>
      </c>
      <c r="H342" s="386"/>
      <c r="I342" s="1363"/>
      <c r="J342" s="322" t="s">
        <v>896</v>
      </c>
      <c r="L342" s="1364"/>
    </row>
    <row r="343" spans="1:12" ht="38.25" customHeight="1" x14ac:dyDescent="0.25">
      <c r="A343" s="205"/>
      <c r="B343" s="205"/>
      <c r="C343" s="211"/>
      <c r="D343" s="383"/>
      <c r="E343" s="22" t="s">
        <v>940</v>
      </c>
      <c r="F343" s="124" t="s">
        <v>941</v>
      </c>
      <c r="G343" s="124" t="s">
        <v>942</v>
      </c>
      <c r="H343" s="207"/>
      <c r="I343" s="319"/>
      <c r="J343" s="322" t="s">
        <v>896</v>
      </c>
      <c r="L343" s="207"/>
    </row>
    <row r="344" spans="1:12" s="375" customFormat="1" ht="130.5" customHeight="1" x14ac:dyDescent="0.25">
      <c r="A344" s="387" t="s">
        <v>944</v>
      </c>
      <c r="B344" s="387" t="s">
        <v>945</v>
      </c>
      <c r="C344" s="387" t="s">
        <v>946</v>
      </c>
      <c r="D344" s="337" t="s">
        <v>947</v>
      </c>
      <c r="E344" s="388" t="s">
        <v>948</v>
      </c>
      <c r="F344" s="389">
        <v>1</v>
      </c>
      <c r="G344" s="390">
        <v>1</v>
      </c>
      <c r="H344" s="372" t="s">
        <v>949</v>
      </c>
      <c r="I344" s="380" t="s">
        <v>950</v>
      </c>
      <c r="J344" s="380" t="s">
        <v>951</v>
      </c>
    </row>
    <row r="345" spans="1:12" s="375" customFormat="1" ht="65.25" customHeight="1" x14ac:dyDescent="0.25">
      <c r="A345" s="391"/>
      <c r="B345" s="391"/>
      <c r="C345" s="392"/>
      <c r="D345" s="393"/>
      <c r="E345" s="388" t="s">
        <v>952</v>
      </c>
      <c r="F345" s="389">
        <v>0.85</v>
      </c>
      <c r="G345" s="390">
        <v>0.95</v>
      </c>
      <c r="H345" s="372" t="s">
        <v>953</v>
      </c>
      <c r="I345" s="380" t="s">
        <v>950</v>
      </c>
      <c r="J345" s="380" t="s">
        <v>951</v>
      </c>
    </row>
    <row r="346" spans="1:12" s="375" customFormat="1" ht="77.25" customHeight="1" x14ac:dyDescent="0.25">
      <c r="A346" s="380"/>
      <c r="B346" s="380"/>
      <c r="C346" s="392"/>
      <c r="D346" s="393"/>
      <c r="E346" s="388" t="s">
        <v>954</v>
      </c>
      <c r="F346" s="389">
        <v>1</v>
      </c>
      <c r="G346" s="390">
        <v>1</v>
      </c>
      <c r="H346" s="372" t="s">
        <v>955</v>
      </c>
      <c r="I346" s="380" t="s">
        <v>950</v>
      </c>
      <c r="J346" s="380" t="s">
        <v>951</v>
      </c>
    </row>
    <row r="347" spans="1:12" s="375" customFormat="1" ht="86.25" customHeight="1" x14ac:dyDescent="0.25">
      <c r="A347" s="387"/>
      <c r="B347" s="387" t="s">
        <v>956</v>
      </c>
      <c r="C347" s="387" t="s">
        <v>957</v>
      </c>
      <c r="D347" s="143" t="s">
        <v>958</v>
      </c>
      <c r="E347" s="394" t="s">
        <v>959</v>
      </c>
      <c r="F347" s="389">
        <v>0.95</v>
      </c>
      <c r="G347" s="390">
        <v>1</v>
      </c>
      <c r="H347" s="372" t="s">
        <v>960</v>
      </c>
      <c r="I347" s="380" t="s">
        <v>950</v>
      </c>
      <c r="J347" s="380" t="s">
        <v>951</v>
      </c>
    </row>
    <row r="348" spans="1:12" s="375" customFormat="1" ht="93" customHeight="1" x14ac:dyDescent="0.25">
      <c r="A348" s="387"/>
      <c r="B348" s="387"/>
      <c r="C348" s="387" t="s">
        <v>961</v>
      </c>
      <c r="D348" s="143" t="s">
        <v>962</v>
      </c>
      <c r="E348" s="371" t="s">
        <v>963</v>
      </c>
      <c r="F348" s="389">
        <v>0.9</v>
      </c>
      <c r="G348" s="390">
        <v>0.95</v>
      </c>
      <c r="H348" s="372" t="s">
        <v>964</v>
      </c>
      <c r="I348" s="380" t="s">
        <v>950</v>
      </c>
      <c r="J348" s="380" t="s">
        <v>951</v>
      </c>
    </row>
    <row r="349" spans="1:12" ht="70.5" customHeight="1" x14ac:dyDescent="0.25">
      <c r="A349" s="205"/>
      <c r="B349" s="205"/>
      <c r="C349" s="143"/>
      <c r="D349" s="71"/>
      <c r="E349" s="340" t="s">
        <v>965</v>
      </c>
      <c r="F349" s="34">
        <v>0.5</v>
      </c>
      <c r="G349" s="65">
        <v>0.95</v>
      </c>
      <c r="H349" s="135" t="s">
        <v>966</v>
      </c>
      <c r="I349" s="188"/>
      <c r="J349" s="322" t="s">
        <v>896</v>
      </c>
    </row>
    <row r="350" spans="1:12" ht="88.5" customHeight="1" x14ac:dyDescent="0.25">
      <c r="A350" s="205"/>
      <c r="B350" s="205"/>
      <c r="C350" s="143"/>
      <c r="D350" s="71"/>
      <c r="E350" s="21" t="s">
        <v>967</v>
      </c>
      <c r="F350" s="319"/>
      <c r="G350" s="333"/>
      <c r="H350" s="135" t="s">
        <v>968</v>
      </c>
      <c r="I350" s="188"/>
      <c r="J350" s="322" t="s">
        <v>896</v>
      </c>
    </row>
    <row r="351" spans="1:12" ht="56.25" customHeight="1" x14ac:dyDescent="0.25">
      <c r="A351" s="22"/>
      <c r="B351" s="22"/>
      <c r="C351" s="313"/>
      <c r="D351" s="341"/>
      <c r="E351" s="340" t="s">
        <v>969</v>
      </c>
      <c r="F351" s="324">
        <v>0.85</v>
      </c>
      <c r="G351" s="34">
        <v>0.95</v>
      </c>
      <c r="H351" s="22"/>
      <c r="I351" s="339"/>
      <c r="J351" s="215" t="s">
        <v>970</v>
      </c>
    </row>
    <row r="352" spans="1:12" ht="51" x14ac:dyDescent="0.25">
      <c r="A352" s="22"/>
      <c r="B352" s="22"/>
      <c r="C352" s="1365" t="s">
        <v>971</v>
      </c>
      <c r="D352" s="337" t="s">
        <v>972</v>
      </c>
      <c r="E352" s="329" t="s">
        <v>973</v>
      </c>
      <c r="F352" s="34">
        <v>1</v>
      </c>
      <c r="G352" s="34">
        <v>1</v>
      </c>
      <c r="H352" s="22" t="s">
        <v>913</v>
      </c>
      <c r="I352" s="81"/>
      <c r="J352" s="319" t="s">
        <v>914</v>
      </c>
    </row>
    <row r="353" spans="1:10" ht="38.25" x14ac:dyDescent="0.25">
      <c r="A353" s="81"/>
      <c r="B353" s="81"/>
      <c r="C353" s="1365"/>
      <c r="D353" s="337" t="s">
        <v>974</v>
      </c>
      <c r="E353" s="329" t="s">
        <v>975</v>
      </c>
      <c r="F353" s="319" t="s">
        <v>976</v>
      </c>
      <c r="G353" s="319" t="s">
        <v>976</v>
      </c>
      <c r="H353" s="22"/>
      <c r="I353" s="81"/>
      <c r="J353" s="319" t="s">
        <v>914</v>
      </c>
    </row>
    <row r="354" spans="1:10" ht="25.5" x14ac:dyDescent="0.25">
      <c r="A354" s="81"/>
      <c r="B354" s="81"/>
      <c r="C354" s="1365"/>
      <c r="D354" s="337"/>
      <c r="E354" s="329" t="s">
        <v>977</v>
      </c>
      <c r="F354" s="319" t="s">
        <v>978</v>
      </c>
      <c r="G354" s="319" t="s">
        <v>979</v>
      </c>
      <c r="H354" s="22"/>
      <c r="I354" s="81"/>
      <c r="J354" s="319" t="s">
        <v>914</v>
      </c>
    </row>
    <row r="355" spans="1:10" ht="25.5" x14ac:dyDescent="0.25">
      <c r="A355" s="81"/>
      <c r="B355" s="81"/>
      <c r="C355" s="81"/>
      <c r="D355" s="376"/>
      <c r="E355" s="329" t="s">
        <v>980</v>
      </c>
      <c r="F355" s="319" t="s">
        <v>981</v>
      </c>
      <c r="G355" s="319" t="s">
        <v>981</v>
      </c>
      <c r="H355" s="22"/>
      <c r="I355" s="81"/>
      <c r="J355" s="319" t="s">
        <v>914</v>
      </c>
    </row>
    <row r="356" spans="1:10" ht="143.25" customHeight="1" x14ac:dyDescent="0.25">
      <c r="A356" s="67"/>
      <c r="B356" s="67"/>
      <c r="C356" s="176" t="s">
        <v>982</v>
      </c>
      <c r="D356" s="62" t="s">
        <v>983</v>
      </c>
      <c r="E356" s="176" t="s">
        <v>984</v>
      </c>
      <c r="F356" s="34">
        <v>0.8</v>
      </c>
      <c r="G356" s="34">
        <v>1</v>
      </c>
      <c r="H356" s="343" t="s">
        <v>985</v>
      </c>
      <c r="I356" s="1324" t="s">
        <v>1855</v>
      </c>
      <c r="J356" s="332" t="s">
        <v>986</v>
      </c>
    </row>
    <row r="357" spans="1:10" ht="56.25" customHeight="1" x14ac:dyDescent="0.25">
      <c r="A357" s="67"/>
      <c r="B357" s="67"/>
      <c r="C357" s="176"/>
      <c r="D357" s="289" t="s">
        <v>1856</v>
      </c>
      <c r="E357" s="289" t="s">
        <v>1857</v>
      </c>
      <c r="F357" s="319" t="s">
        <v>1835</v>
      </c>
      <c r="G357" s="34">
        <v>1</v>
      </c>
      <c r="H357" s="332" t="s">
        <v>1858</v>
      </c>
      <c r="I357" s="1325"/>
      <c r="J357" s="332" t="s">
        <v>986</v>
      </c>
    </row>
    <row r="358" spans="1:10" ht="68.25" customHeight="1" x14ac:dyDescent="0.25">
      <c r="A358" s="22"/>
      <c r="B358" s="22"/>
      <c r="C358" s="335"/>
      <c r="D358" s="337"/>
      <c r="E358" s="329" t="s">
        <v>987</v>
      </c>
      <c r="F358" s="327">
        <v>0.03</v>
      </c>
      <c r="G358" s="34">
        <v>0.99</v>
      </c>
      <c r="H358" s="335"/>
      <c r="I358" s="1324" t="s">
        <v>1855</v>
      </c>
      <c r="J358" s="319" t="s">
        <v>192</v>
      </c>
    </row>
    <row r="359" spans="1:10" ht="68.25" customHeight="1" x14ac:dyDescent="0.25">
      <c r="A359" s="22"/>
      <c r="B359" s="22"/>
      <c r="C359" s="335"/>
      <c r="D359" s="337"/>
      <c r="E359" s="23" t="s">
        <v>1806</v>
      </c>
      <c r="F359" s="395">
        <v>0.99</v>
      </c>
      <c r="G359" s="395">
        <v>0.99</v>
      </c>
      <c r="H359" s="335"/>
      <c r="I359" s="1325"/>
      <c r="J359" s="319" t="s">
        <v>192</v>
      </c>
    </row>
    <row r="360" spans="1:10" ht="66.75" customHeight="1" x14ac:dyDescent="0.25">
      <c r="A360" s="143"/>
      <c r="B360" s="143"/>
      <c r="C360" s="337" t="s">
        <v>988</v>
      </c>
      <c r="D360" s="143" t="s">
        <v>989</v>
      </c>
      <c r="E360" s="340" t="s">
        <v>990</v>
      </c>
      <c r="F360" s="396" t="s">
        <v>1859</v>
      </c>
      <c r="G360" s="396" t="s">
        <v>1860</v>
      </c>
      <c r="H360" s="1366" t="s">
        <v>1861</v>
      </c>
      <c r="I360" s="1324" t="s">
        <v>1855</v>
      </c>
      <c r="J360" s="347" t="s">
        <v>991</v>
      </c>
    </row>
    <row r="361" spans="1:10" ht="91.5" customHeight="1" x14ac:dyDescent="0.25">
      <c r="A361" s="319"/>
      <c r="B361" s="340"/>
      <c r="C361" s="340"/>
      <c r="D361" s="393"/>
      <c r="E361" s="340" t="s">
        <v>992</v>
      </c>
      <c r="F361" s="397">
        <v>35</v>
      </c>
      <c r="G361" s="397">
        <v>42</v>
      </c>
      <c r="H361" s="1367"/>
      <c r="I361" s="1325"/>
      <c r="J361" s="347" t="s">
        <v>991</v>
      </c>
    </row>
    <row r="362" spans="1:10" ht="44.25" customHeight="1" x14ac:dyDescent="0.25">
      <c r="A362" s="319"/>
      <c r="B362" s="340"/>
      <c r="C362" s="340"/>
      <c r="D362" s="393"/>
      <c r="E362" s="340" t="s">
        <v>993</v>
      </c>
      <c r="F362" s="398" t="s">
        <v>1862</v>
      </c>
      <c r="G362" s="398" t="s">
        <v>1863</v>
      </c>
      <c r="H362" s="1367"/>
      <c r="I362" s="1324" t="s">
        <v>1855</v>
      </c>
      <c r="J362" s="347" t="s">
        <v>991</v>
      </c>
    </row>
    <row r="363" spans="1:10" ht="36.75" customHeight="1" x14ac:dyDescent="0.25">
      <c r="A363" s="319"/>
      <c r="B363" s="340"/>
      <c r="C363" s="340"/>
      <c r="D363" s="393"/>
      <c r="E363" s="340" t="s">
        <v>994</v>
      </c>
      <c r="F363" s="398" t="s">
        <v>1864</v>
      </c>
      <c r="G363" s="398" t="s">
        <v>1865</v>
      </c>
      <c r="H363" s="1367"/>
      <c r="I363" s="1326"/>
      <c r="J363" s="347" t="s">
        <v>991</v>
      </c>
    </row>
    <row r="364" spans="1:10" ht="33" customHeight="1" x14ac:dyDescent="0.25">
      <c r="A364" s="319"/>
      <c r="B364" s="340"/>
      <c r="C364" s="340"/>
      <c r="D364" s="393"/>
      <c r="E364" s="340" t="s">
        <v>995</v>
      </c>
      <c r="F364" s="398" t="s">
        <v>1866</v>
      </c>
      <c r="G364" s="398" t="s">
        <v>1867</v>
      </c>
      <c r="H364" s="1367"/>
      <c r="I364" s="1326"/>
      <c r="J364" s="347" t="s">
        <v>991</v>
      </c>
    </row>
    <row r="365" spans="1:10" ht="63" customHeight="1" x14ac:dyDescent="0.25">
      <c r="A365" s="319"/>
      <c r="B365" s="340"/>
      <c r="C365" s="340"/>
      <c r="D365" s="393"/>
      <c r="E365" s="340" t="s">
        <v>996</v>
      </c>
      <c r="F365" s="398" t="s">
        <v>1868</v>
      </c>
      <c r="G365" s="398" t="s">
        <v>1869</v>
      </c>
      <c r="H365" s="1367"/>
      <c r="I365" s="1326"/>
      <c r="J365" s="347" t="s">
        <v>991</v>
      </c>
    </row>
    <row r="366" spans="1:10" ht="52.5" customHeight="1" x14ac:dyDescent="0.25">
      <c r="A366" s="319"/>
      <c r="B366" s="340"/>
      <c r="C366" s="340"/>
      <c r="D366" s="393"/>
      <c r="E366" s="340" t="s">
        <v>997</v>
      </c>
      <c r="F366" s="398" t="s">
        <v>1870</v>
      </c>
      <c r="G366" s="398" t="s">
        <v>1871</v>
      </c>
      <c r="H366" s="1368"/>
      <c r="I366" s="1325"/>
      <c r="J366" s="347" t="s">
        <v>991</v>
      </c>
    </row>
    <row r="367" spans="1:10" ht="135.75" customHeight="1" x14ac:dyDescent="0.25">
      <c r="A367" s="22" t="s">
        <v>998</v>
      </c>
      <c r="B367" s="22" t="s">
        <v>999</v>
      </c>
      <c r="C367" s="335" t="s">
        <v>988</v>
      </c>
      <c r="D367" s="338" t="s">
        <v>1000</v>
      </c>
      <c r="E367" s="329" t="s">
        <v>1001</v>
      </c>
      <c r="F367" s="196">
        <v>0.9</v>
      </c>
      <c r="G367" s="196">
        <v>0.95</v>
      </c>
      <c r="H367" s="1348" t="s">
        <v>1002</v>
      </c>
      <c r="I367" s="1329" t="s">
        <v>1855</v>
      </c>
      <c r="J367" s="319" t="s">
        <v>1003</v>
      </c>
    </row>
    <row r="368" spans="1:10" ht="56.25" customHeight="1" x14ac:dyDescent="0.25">
      <c r="A368" s="81"/>
      <c r="B368" s="81"/>
      <c r="C368" s="81"/>
      <c r="D368" s="376"/>
      <c r="E368" s="329" t="s">
        <v>1004</v>
      </c>
      <c r="F368" s="399">
        <v>1</v>
      </c>
      <c r="G368" s="399">
        <v>1</v>
      </c>
      <c r="H368" s="1350"/>
      <c r="I368" s="1331"/>
      <c r="J368" s="319" t="s">
        <v>1005</v>
      </c>
    </row>
    <row r="369" spans="1:10" ht="56.25" customHeight="1" x14ac:dyDescent="0.25">
      <c r="A369" s="205"/>
      <c r="B369" s="205"/>
      <c r="C369" s="1353" t="s">
        <v>1006</v>
      </c>
      <c r="D369" s="1356" t="s">
        <v>1007</v>
      </c>
      <c r="E369" s="22" t="s">
        <v>1008</v>
      </c>
      <c r="F369" s="319" t="s">
        <v>1009</v>
      </c>
      <c r="G369" s="319" t="s">
        <v>1010</v>
      </c>
      <c r="H369" s="22" t="s">
        <v>1011</v>
      </c>
      <c r="I369" s="319" t="s">
        <v>1012</v>
      </c>
      <c r="J369" s="332" t="s">
        <v>1013</v>
      </c>
    </row>
    <row r="370" spans="1:10" ht="55.5" customHeight="1" x14ac:dyDescent="0.25">
      <c r="A370" s="205"/>
      <c r="B370" s="205"/>
      <c r="C370" s="1354"/>
      <c r="D370" s="1357"/>
      <c r="E370" s="1359" t="s">
        <v>1014</v>
      </c>
      <c r="F370" s="1361" t="s">
        <v>1009</v>
      </c>
      <c r="G370" s="1361" t="s">
        <v>1010</v>
      </c>
      <c r="H370" s="22" t="s">
        <v>1015</v>
      </c>
      <c r="I370" s="319" t="s">
        <v>1012</v>
      </c>
      <c r="J370" s="332" t="s">
        <v>1013</v>
      </c>
    </row>
    <row r="371" spans="1:10" ht="78" customHeight="1" x14ac:dyDescent="0.25">
      <c r="A371" s="205"/>
      <c r="B371" s="205"/>
      <c r="C371" s="1355"/>
      <c r="D371" s="1358"/>
      <c r="E371" s="1360"/>
      <c r="F371" s="1362"/>
      <c r="G371" s="1362"/>
      <c r="H371" s="22" t="s">
        <v>1016</v>
      </c>
      <c r="I371" s="319" t="s">
        <v>1012</v>
      </c>
      <c r="J371" s="332" t="s">
        <v>1013</v>
      </c>
    </row>
    <row r="372" spans="1:10" ht="90" customHeight="1" x14ac:dyDescent="0.25">
      <c r="A372" s="22"/>
      <c r="B372" s="22" t="s">
        <v>1017</v>
      </c>
      <c r="C372" s="22" t="s">
        <v>1018</v>
      </c>
      <c r="D372" s="143" t="s">
        <v>1019</v>
      </c>
      <c r="E372" s="22" t="s">
        <v>1020</v>
      </c>
      <c r="F372" s="216" t="s">
        <v>1021</v>
      </c>
      <c r="G372" s="216" t="s">
        <v>1022</v>
      </c>
      <c r="H372" s="22" t="s">
        <v>1023</v>
      </c>
      <c r="I372" s="319" t="s">
        <v>1024</v>
      </c>
      <c r="J372" s="332" t="s">
        <v>1013</v>
      </c>
    </row>
    <row r="373" spans="1:10" ht="142.5" customHeight="1" x14ac:dyDescent="0.25">
      <c r="A373" s="143" t="s">
        <v>1025</v>
      </c>
      <c r="B373" s="143" t="s">
        <v>956</v>
      </c>
      <c r="C373" s="1337" t="s">
        <v>1026</v>
      </c>
      <c r="D373" s="1337" t="s">
        <v>1027</v>
      </c>
      <c r="E373" s="337" t="s">
        <v>1028</v>
      </c>
      <c r="F373" s="65">
        <v>1.52</v>
      </c>
      <c r="G373" s="217"/>
      <c r="H373" s="337" t="s">
        <v>1029</v>
      </c>
      <c r="I373" s="337" t="s">
        <v>1030</v>
      </c>
      <c r="J373" s="347" t="s">
        <v>1031</v>
      </c>
    </row>
    <row r="374" spans="1:10" ht="148.5" customHeight="1" x14ac:dyDescent="0.25">
      <c r="A374" s="143"/>
      <c r="B374" s="143"/>
      <c r="C374" s="1346"/>
      <c r="D374" s="1338"/>
      <c r="E374" s="337" t="s">
        <v>1032</v>
      </c>
      <c r="F374" s="333" t="s">
        <v>1033</v>
      </c>
      <c r="G374" s="65">
        <v>1</v>
      </c>
      <c r="H374" s="337"/>
      <c r="I374" s="337" t="s">
        <v>1030</v>
      </c>
      <c r="J374" s="347" t="s">
        <v>1031</v>
      </c>
    </row>
    <row r="375" spans="1:10" ht="139.5" customHeight="1" x14ac:dyDescent="0.25">
      <c r="A375" s="143"/>
      <c r="B375" s="143"/>
      <c r="C375" s="1338"/>
      <c r="D375" s="337" t="s">
        <v>1034</v>
      </c>
      <c r="E375" s="337" t="s">
        <v>1035</v>
      </c>
      <c r="F375" s="217"/>
      <c r="G375" s="217"/>
      <c r="H375" s="337"/>
      <c r="I375" s="337" t="s">
        <v>1030</v>
      </c>
      <c r="J375" s="347" t="s">
        <v>1031</v>
      </c>
    </row>
    <row r="376" spans="1:10" ht="147.75" customHeight="1" x14ac:dyDescent="0.25">
      <c r="A376" s="143"/>
      <c r="B376" s="143"/>
      <c r="C376" s="143"/>
      <c r="D376" s="143"/>
      <c r="E376" s="143" t="s">
        <v>1036</v>
      </c>
      <c r="F376" s="65">
        <v>0.83</v>
      </c>
      <c r="G376" s="65">
        <v>0.83</v>
      </c>
      <c r="H376" s="337"/>
      <c r="I376" s="337" t="s">
        <v>1030</v>
      </c>
      <c r="J376" s="347" t="s">
        <v>1031</v>
      </c>
    </row>
    <row r="377" spans="1:10" ht="148.5" customHeight="1" x14ac:dyDescent="0.25">
      <c r="A377" s="143"/>
      <c r="B377" s="143"/>
      <c r="C377" s="143"/>
      <c r="D377" s="143"/>
      <c r="E377" s="143" t="s">
        <v>1037</v>
      </c>
      <c r="F377" s="333" t="s">
        <v>1038</v>
      </c>
      <c r="G377" s="65">
        <v>1</v>
      </c>
      <c r="H377" s="337"/>
      <c r="I377" s="337" t="s">
        <v>1030</v>
      </c>
      <c r="J377" s="347" t="s">
        <v>1031</v>
      </c>
    </row>
    <row r="378" spans="1:10" ht="151.5" customHeight="1" x14ac:dyDescent="0.25">
      <c r="A378" s="143"/>
      <c r="B378" s="143"/>
      <c r="C378" s="143"/>
      <c r="D378" s="143"/>
      <c r="E378" s="143" t="s">
        <v>1039</v>
      </c>
      <c r="F378" s="65">
        <v>0.49</v>
      </c>
      <c r="G378" s="65">
        <v>0.56000000000000005</v>
      </c>
      <c r="H378" s="337" t="s">
        <v>1040</v>
      </c>
      <c r="I378" s="337" t="s">
        <v>1030</v>
      </c>
      <c r="J378" s="347" t="s">
        <v>1031</v>
      </c>
    </row>
    <row r="379" spans="1:10" ht="150" customHeight="1" x14ac:dyDescent="0.25">
      <c r="A379" s="143"/>
      <c r="B379" s="143"/>
      <c r="C379" s="143"/>
      <c r="D379" s="143"/>
      <c r="E379" s="143" t="s">
        <v>1041</v>
      </c>
      <c r="F379" s="333" t="s">
        <v>823</v>
      </c>
      <c r="G379" s="333" t="s">
        <v>1042</v>
      </c>
      <c r="H379" s="337"/>
      <c r="I379" s="337" t="s">
        <v>1030</v>
      </c>
      <c r="J379" s="347" t="s">
        <v>1031</v>
      </c>
    </row>
    <row r="380" spans="1:10" ht="150.75" customHeight="1" x14ac:dyDescent="0.25">
      <c r="A380" s="143"/>
      <c r="B380" s="143"/>
      <c r="C380" s="143"/>
      <c r="D380" s="143"/>
      <c r="E380" s="143" t="s">
        <v>1043</v>
      </c>
      <c r="F380" s="333" t="s">
        <v>1044</v>
      </c>
      <c r="G380" s="333" t="s">
        <v>1045</v>
      </c>
      <c r="H380" s="337" t="s">
        <v>964</v>
      </c>
      <c r="I380" s="337" t="s">
        <v>1030</v>
      </c>
      <c r="J380" s="347" t="s">
        <v>1031</v>
      </c>
    </row>
    <row r="381" spans="1:10" ht="65.25" customHeight="1" x14ac:dyDescent="0.25">
      <c r="A381" s="20"/>
      <c r="B381" s="20"/>
      <c r="C381" s="340"/>
      <c r="D381" s="62" t="s">
        <v>1046</v>
      </c>
      <c r="E381" s="23" t="s">
        <v>1047</v>
      </c>
      <c r="F381" s="85">
        <v>0.1</v>
      </c>
      <c r="G381" s="111">
        <v>0.15</v>
      </c>
      <c r="H381" s="1347" t="s">
        <v>966</v>
      </c>
      <c r="I381" s="1348" t="s">
        <v>1855</v>
      </c>
      <c r="J381" s="319" t="s">
        <v>1048</v>
      </c>
    </row>
    <row r="382" spans="1:10" ht="74.25" customHeight="1" x14ac:dyDescent="0.25">
      <c r="A382" s="20"/>
      <c r="B382" s="20"/>
      <c r="C382" s="340"/>
      <c r="E382" s="23" t="s">
        <v>1049</v>
      </c>
      <c r="F382" s="85">
        <v>0.21</v>
      </c>
      <c r="G382" s="111">
        <v>0.25</v>
      </c>
      <c r="H382" s="1347"/>
      <c r="I382" s="1349"/>
      <c r="J382" s="319" t="s">
        <v>1048</v>
      </c>
    </row>
    <row r="383" spans="1:10" ht="60" customHeight="1" x14ac:dyDescent="0.25">
      <c r="A383" s="20"/>
      <c r="B383" s="20"/>
      <c r="C383" s="22"/>
      <c r="D383" s="337"/>
      <c r="E383" s="23" t="s">
        <v>1050</v>
      </c>
      <c r="F383" s="112" t="s">
        <v>1051</v>
      </c>
      <c r="G383" s="218" t="s">
        <v>1051</v>
      </c>
      <c r="H383" s="23" t="s">
        <v>1052</v>
      </c>
      <c r="I383" s="1349"/>
      <c r="J383" s="319" t="s">
        <v>1048</v>
      </c>
    </row>
    <row r="384" spans="1:10" ht="81" customHeight="1" x14ac:dyDescent="0.25">
      <c r="A384" s="20"/>
      <c r="B384" s="20"/>
      <c r="C384" s="22"/>
      <c r="D384" s="381"/>
      <c r="E384" s="23" t="s">
        <v>1053</v>
      </c>
      <c r="F384" s="85">
        <v>0.33</v>
      </c>
      <c r="G384" s="111">
        <v>0.9</v>
      </c>
      <c r="H384" s="23"/>
      <c r="I384" s="1349"/>
      <c r="J384" s="319" t="s">
        <v>1048</v>
      </c>
    </row>
    <row r="385" spans="1:10" ht="59.25" customHeight="1" x14ac:dyDescent="0.25">
      <c r="A385" s="20"/>
      <c r="B385" s="20"/>
      <c r="C385" s="22"/>
      <c r="D385" s="62" t="s">
        <v>1054</v>
      </c>
      <c r="E385" s="23" t="s">
        <v>1055</v>
      </c>
      <c r="F385" s="85">
        <v>0</v>
      </c>
      <c r="G385" s="111">
        <v>0.7</v>
      </c>
      <c r="H385" s="23"/>
      <c r="I385" s="1349"/>
      <c r="J385" s="319" t="s">
        <v>1048</v>
      </c>
    </row>
    <row r="386" spans="1:10" ht="55.5" customHeight="1" x14ac:dyDescent="0.25">
      <c r="A386" s="20"/>
      <c r="B386" s="20"/>
      <c r="C386" s="22"/>
      <c r="D386" s="381"/>
      <c r="E386" s="219" t="s">
        <v>1056</v>
      </c>
      <c r="F386" s="85" t="s">
        <v>217</v>
      </c>
      <c r="G386" s="111">
        <v>0.95</v>
      </c>
      <c r="H386" s="23"/>
      <c r="I386" s="1349"/>
      <c r="J386" s="319"/>
    </row>
    <row r="387" spans="1:10" ht="62.25" customHeight="1" x14ac:dyDescent="0.25">
      <c r="A387" s="20"/>
      <c r="B387" s="20"/>
      <c r="C387" s="22"/>
      <c r="D387" s="381"/>
      <c r="E387" s="329" t="s">
        <v>1057</v>
      </c>
      <c r="F387" s="85">
        <v>0</v>
      </c>
      <c r="G387" s="65">
        <v>0.7</v>
      </c>
      <c r="H387" s="23"/>
      <c r="I387" s="1350"/>
      <c r="J387" s="319" t="s">
        <v>1048</v>
      </c>
    </row>
    <row r="388" spans="1:10" ht="57" customHeight="1" x14ac:dyDescent="0.25">
      <c r="A388" s="20"/>
      <c r="B388" s="20"/>
      <c r="C388" s="22"/>
      <c r="D388" s="381"/>
      <c r="E388" s="219" t="s">
        <v>1058</v>
      </c>
      <c r="F388" s="85" t="s">
        <v>217</v>
      </c>
      <c r="G388" s="65" t="s">
        <v>1059</v>
      </c>
      <c r="H388" s="365"/>
      <c r="I388" s="322"/>
      <c r="J388" s="319"/>
    </row>
    <row r="389" spans="1:10" ht="69.75" customHeight="1" x14ac:dyDescent="0.25">
      <c r="A389" s="22" t="s">
        <v>1060</v>
      </c>
      <c r="B389" s="22" t="s">
        <v>1061</v>
      </c>
      <c r="C389" s="22" t="s">
        <v>1062</v>
      </c>
      <c r="D389" s="1337" t="s">
        <v>1063</v>
      </c>
      <c r="E389" s="340" t="s">
        <v>1064</v>
      </c>
      <c r="F389" s="324">
        <v>0.8</v>
      </c>
      <c r="G389" s="324">
        <v>0.9</v>
      </c>
      <c r="H389" s="22"/>
      <c r="I389" s="1348" t="s">
        <v>1855</v>
      </c>
      <c r="J389" s="215" t="s">
        <v>970</v>
      </c>
    </row>
    <row r="390" spans="1:10" ht="53.25" customHeight="1" x14ac:dyDescent="0.25">
      <c r="A390" s="22"/>
      <c r="B390" s="22"/>
      <c r="C390" s="22"/>
      <c r="D390" s="1346"/>
      <c r="E390" s="340" t="s">
        <v>1065</v>
      </c>
      <c r="F390" s="221" t="s">
        <v>1066</v>
      </c>
      <c r="G390" s="221" t="s">
        <v>1067</v>
      </c>
      <c r="H390" s="22"/>
      <c r="I390" s="1349"/>
      <c r="J390" s="215" t="s">
        <v>970</v>
      </c>
    </row>
    <row r="391" spans="1:10" ht="40.5" customHeight="1" x14ac:dyDescent="0.25">
      <c r="A391" s="22"/>
      <c r="B391" s="22"/>
      <c r="C391" s="22"/>
      <c r="D391" s="1346"/>
      <c r="E391" s="340" t="s">
        <v>1068</v>
      </c>
      <c r="F391" s="324">
        <v>0.7</v>
      </c>
      <c r="G391" s="324">
        <v>0.95</v>
      </c>
      <c r="H391" s="22"/>
      <c r="I391" s="1349"/>
      <c r="J391" s="215" t="s">
        <v>970</v>
      </c>
    </row>
    <row r="392" spans="1:10" ht="39.75" customHeight="1" x14ac:dyDescent="0.25">
      <c r="A392" s="22"/>
      <c r="B392" s="22"/>
      <c r="C392" s="22"/>
      <c r="D392" s="1346"/>
      <c r="E392" s="340" t="s">
        <v>1069</v>
      </c>
      <c r="F392" s="324">
        <v>0.9</v>
      </c>
      <c r="G392" s="324">
        <v>0.95</v>
      </c>
      <c r="H392" s="22"/>
      <c r="I392" s="1349"/>
      <c r="J392" s="215" t="s">
        <v>970</v>
      </c>
    </row>
    <row r="393" spans="1:10" ht="46.5" customHeight="1" x14ac:dyDescent="0.25">
      <c r="A393" s="22"/>
      <c r="B393" s="22"/>
      <c r="C393" s="22"/>
      <c r="D393" s="1338"/>
      <c r="E393" s="340" t="s">
        <v>1070</v>
      </c>
      <c r="F393" s="197" t="s">
        <v>1071</v>
      </c>
      <c r="G393" s="197" t="s">
        <v>1072</v>
      </c>
      <c r="H393" s="22"/>
      <c r="I393" s="1349"/>
      <c r="J393" s="215" t="s">
        <v>970</v>
      </c>
    </row>
    <row r="394" spans="1:10" ht="92.25" customHeight="1" x14ac:dyDescent="0.25">
      <c r="A394" s="22"/>
      <c r="B394" s="22"/>
      <c r="C394" s="57"/>
      <c r="D394" s="143" t="s">
        <v>1073</v>
      </c>
      <c r="E394" s="340" t="s">
        <v>1074</v>
      </c>
      <c r="F394" s="197" t="s">
        <v>1075</v>
      </c>
      <c r="G394" s="197" t="s">
        <v>1075</v>
      </c>
      <c r="H394" s="22"/>
      <c r="I394" s="1349"/>
      <c r="J394" s="215" t="s">
        <v>970</v>
      </c>
    </row>
    <row r="395" spans="1:10" ht="66" customHeight="1" x14ac:dyDescent="0.25">
      <c r="A395" s="22"/>
      <c r="B395" s="22"/>
      <c r="C395" s="22" t="s">
        <v>1076</v>
      </c>
      <c r="D395" s="70" t="s">
        <v>1077</v>
      </c>
      <c r="E395" s="340" t="s">
        <v>1078</v>
      </c>
      <c r="F395" s="222" t="s">
        <v>1079</v>
      </c>
      <c r="G395" s="222" t="s">
        <v>1080</v>
      </c>
      <c r="H395" s="22"/>
      <c r="I395" s="1349"/>
      <c r="J395" s="215" t="s">
        <v>970</v>
      </c>
    </row>
    <row r="396" spans="1:10" ht="66.75" customHeight="1" x14ac:dyDescent="0.25">
      <c r="A396" s="22"/>
      <c r="B396" s="22"/>
      <c r="C396" s="22"/>
      <c r="D396" s="70" t="s">
        <v>1081</v>
      </c>
      <c r="E396" s="340" t="s">
        <v>1082</v>
      </c>
      <c r="F396" s="324">
        <v>0.8</v>
      </c>
      <c r="G396" s="324">
        <v>0.9</v>
      </c>
      <c r="H396" s="22"/>
      <c r="I396" s="1349"/>
      <c r="J396" s="215" t="s">
        <v>970</v>
      </c>
    </row>
    <row r="397" spans="1:10" ht="39" customHeight="1" x14ac:dyDescent="0.25">
      <c r="A397" s="22"/>
      <c r="B397" s="22"/>
      <c r="C397" s="22"/>
      <c r="D397" s="1351" t="s">
        <v>1083</v>
      </c>
      <c r="E397" s="22" t="s">
        <v>1084</v>
      </c>
      <c r="F397" s="197" t="s">
        <v>1085</v>
      </c>
      <c r="G397" s="197" t="s">
        <v>1086</v>
      </c>
      <c r="H397" s="22"/>
      <c r="I397" s="1349"/>
      <c r="J397" s="215" t="s">
        <v>970</v>
      </c>
    </row>
    <row r="398" spans="1:10" ht="43.5" customHeight="1" x14ac:dyDescent="0.25">
      <c r="A398" s="22"/>
      <c r="B398" s="22"/>
      <c r="C398" s="22"/>
      <c r="D398" s="1352"/>
      <c r="E398" s="340" t="s">
        <v>1087</v>
      </c>
      <c r="F398" s="197" t="s">
        <v>1086</v>
      </c>
      <c r="G398" s="197" t="s">
        <v>1086</v>
      </c>
      <c r="H398" s="22"/>
      <c r="I398" s="1350"/>
      <c r="J398" s="215" t="s">
        <v>970</v>
      </c>
    </row>
    <row r="399" spans="1:10" ht="94.5" customHeight="1" x14ac:dyDescent="0.25">
      <c r="A399" s="82" t="s">
        <v>1088</v>
      </c>
      <c r="B399" s="82" t="s">
        <v>1089</v>
      </c>
      <c r="C399" s="205" t="s">
        <v>1090</v>
      </c>
      <c r="D399" s="71" t="s">
        <v>1091</v>
      </c>
      <c r="E399" s="344" t="s">
        <v>1092</v>
      </c>
      <c r="F399" s="224" t="s">
        <v>1093</v>
      </c>
      <c r="G399" s="224" t="s">
        <v>1094</v>
      </c>
      <c r="H399" s="143" t="s">
        <v>1095</v>
      </c>
      <c r="I399" s="225" t="s">
        <v>1096</v>
      </c>
      <c r="J399" s="345" t="s">
        <v>1097</v>
      </c>
    </row>
    <row r="400" spans="1:10" ht="39.75" customHeight="1" x14ac:dyDescent="0.25">
      <c r="A400" s="82"/>
      <c r="B400" s="82"/>
      <c r="C400" s="205"/>
      <c r="D400" s="71"/>
      <c r="E400" s="340" t="s">
        <v>1098</v>
      </c>
      <c r="F400" s="227" t="s">
        <v>1099</v>
      </c>
      <c r="G400" s="227" t="s">
        <v>1100</v>
      </c>
      <c r="H400" s="143"/>
      <c r="I400" s="225" t="s">
        <v>1096</v>
      </c>
      <c r="J400" s="319" t="s">
        <v>1097</v>
      </c>
    </row>
    <row r="401" spans="1:10" ht="39.75" customHeight="1" x14ac:dyDescent="0.25">
      <c r="A401" s="82"/>
      <c r="B401" s="82"/>
      <c r="C401" s="205"/>
      <c r="D401" s="71"/>
      <c r="E401" s="340" t="s">
        <v>1101</v>
      </c>
      <c r="F401" s="227" t="s">
        <v>1102</v>
      </c>
      <c r="G401" s="227" t="s">
        <v>1103</v>
      </c>
      <c r="H401" s="143"/>
      <c r="I401" s="225" t="s">
        <v>1096</v>
      </c>
      <c r="J401" s="319" t="s">
        <v>1097</v>
      </c>
    </row>
    <row r="402" spans="1:10" ht="42.75" customHeight="1" x14ac:dyDescent="0.25">
      <c r="A402" s="82"/>
      <c r="B402" s="82"/>
      <c r="C402" s="205"/>
      <c r="D402" s="71"/>
      <c r="E402" s="340" t="s">
        <v>1104</v>
      </c>
      <c r="F402" s="227" t="s">
        <v>1105</v>
      </c>
      <c r="G402" s="227" t="s">
        <v>1106</v>
      </c>
      <c r="H402" s="143"/>
      <c r="I402" s="225" t="s">
        <v>1096</v>
      </c>
      <c r="J402" s="319" t="s">
        <v>1097</v>
      </c>
    </row>
    <row r="403" spans="1:10" ht="54" customHeight="1" x14ac:dyDescent="0.25">
      <c r="A403" s="82"/>
      <c r="B403" s="82"/>
      <c r="C403" s="205"/>
      <c r="D403" s="71"/>
      <c r="E403" s="340" t="s">
        <v>1107</v>
      </c>
      <c r="F403" s="228" t="s">
        <v>1108</v>
      </c>
      <c r="G403" s="228" t="s">
        <v>1109</v>
      </c>
      <c r="H403" s="143"/>
      <c r="I403" s="225" t="s">
        <v>1096</v>
      </c>
      <c r="J403" s="319" t="s">
        <v>1097</v>
      </c>
    </row>
    <row r="404" spans="1:10" ht="79.5" customHeight="1" x14ac:dyDescent="0.25">
      <c r="A404" s="22"/>
      <c r="B404" s="22"/>
      <c r="C404" s="1335" t="s">
        <v>1110</v>
      </c>
      <c r="D404" s="1337" t="s">
        <v>1111</v>
      </c>
      <c r="E404" s="340" t="s">
        <v>1112</v>
      </c>
      <c r="F404" s="322" t="s">
        <v>1113</v>
      </c>
      <c r="G404" s="34">
        <v>1</v>
      </c>
      <c r="H404" s="335" t="s">
        <v>1114</v>
      </c>
      <c r="I404" s="1339" t="s">
        <v>1855</v>
      </c>
      <c r="J404" s="319" t="s">
        <v>1115</v>
      </c>
    </row>
    <row r="405" spans="1:10" ht="57.75" customHeight="1" x14ac:dyDescent="0.25">
      <c r="A405" s="22"/>
      <c r="B405" s="22"/>
      <c r="C405" s="1336"/>
      <c r="D405" s="1338"/>
      <c r="E405" s="340" t="s">
        <v>1116</v>
      </c>
      <c r="F405" s="34">
        <v>1</v>
      </c>
      <c r="G405" s="34">
        <v>1</v>
      </c>
      <c r="H405" s="335" t="s">
        <v>1117</v>
      </c>
      <c r="I405" s="1340"/>
      <c r="J405" s="319" t="s">
        <v>1115</v>
      </c>
    </row>
    <row r="406" spans="1:10" ht="81" customHeight="1" x14ac:dyDescent="0.25">
      <c r="A406" s="22"/>
      <c r="B406" s="22"/>
      <c r="C406" s="313" t="s">
        <v>1118</v>
      </c>
      <c r="D406" s="401" t="s">
        <v>1119</v>
      </c>
      <c r="E406" s="340" t="s">
        <v>1120</v>
      </c>
      <c r="F406" s="34">
        <v>1</v>
      </c>
      <c r="G406" s="34">
        <v>1</v>
      </c>
      <c r="H406" s="1335" t="s">
        <v>1121</v>
      </c>
      <c r="I406" s="1340"/>
      <c r="J406" s="319" t="s">
        <v>1115</v>
      </c>
    </row>
    <row r="407" spans="1:10" ht="68.25" customHeight="1" x14ac:dyDescent="0.25">
      <c r="A407" s="22"/>
      <c r="B407" s="22"/>
      <c r="C407" s="313"/>
      <c r="D407" s="401"/>
      <c r="E407" s="340" t="s">
        <v>1122</v>
      </c>
      <c r="F407" s="34">
        <v>1</v>
      </c>
      <c r="G407" s="34">
        <v>1</v>
      </c>
      <c r="H407" s="1336"/>
      <c r="I407" s="1341"/>
      <c r="J407" s="319" t="s">
        <v>1115</v>
      </c>
    </row>
    <row r="408" spans="1:10" ht="79.5" customHeight="1" x14ac:dyDescent="0.25">
      <c r="A408" s="82"/>
      <c r="B408" s="82"/>
      <c r="C408" s="176"/>
      <c r="D408" s="62" t="s">
        <v>1123</v>
      </c>
      <c r="E408" s="23" t="s">
        <v>1124</v>
      </c>
      <c r="F408" s="324">
        <v>0.25</v>
      </c>
      <c r="G408" s="324">
        <v>0.43</v>
      </c>
      <c r="H408" s="21" t="s">
        <v>1125</v>
      </c>
      <c r="I408" s="322" t="s">
        <v>1246</v>
      </c>
      <c r="J408" s="319" t="s">
        <v>1126</v>
      </c>
    </row>
    <row r="409" spans="1:10" ht="90" customHeight="1" x14ac:dyDescent="0.25">
      <c r="A409" s="230"/>
      <c r="B409" s="230"/>
      <c r="C409" s="335"/>
      <c r="D409" s="182"/>
      <c r="E409" s="23" t="s">
        <v>1127</v>
      </c>
      <c r="F409" s="327">
        <v>0.5</v>
      </c>
      <c r="G409" s="324">
        <v>0.56000000000000005</v>
      </c>
      <c r="H409" s="21" t="s">
        <v>1128</v>
      </c>
      <c r="I409" s="322" t="s">
        <v>1246</v>
      </c>
      <c r="J409" s="319" t="s">
        <v>1126</v>
      </c>
    </row>
    <row r="410" spans="1:10" ht="45" customHeight="1" x14ac:dyDescent="0.25">
      <c r="A410" s="230"/>
      <c r="B410" s="230"/>
      <c r="C410" s="335"/>
      <c r="D410" s="182"/>
      <c r="E410" s="329" t="s">
        <v>1129</v>
      </c>
      <c r="F410" s="1342"/>
      <c r="G410" s="1343"/>
      <c r="H410" s="21"/>
      <c r="I410" s="333"/>
      <c r="J410" s="319" t="s">
        <v>1126</v>
      </c>
    </row>
    <row r="411" spans="1:10" ht="81.75" customHeight="1" x14ac:dyDescent="0.25">
      <c r="A411" s="230"/>
      <c r="B411" s="230"/>
      <c r="C411" s="335"/>
      <c r="D411" s="182"/>
      <c r="E411" s="231" t="s">
        <v>1130</v>
      </c>
      <c r="F411" s="319" t="s">
        <v>1131</v>
      </c>
      <c r="G411" s="322" t="s">
        <v>1132</v>
      </c>
      <c r="H411" s="21" t="s">
        <v>1133</v>
      </c>
      <c r="I411" s="322" t="s">
        <v>1839</v>
      </c>
      <c r="J411" s="319" t="s">
        <v>1126</v>
      </c>
    </row>
    <row r="412" spans="1:10" ht="28.5" customHeight="1" x14ac:dyDescent="0.25">
      <c r="A412" s="230"/>
      <c r="B412" s="230"/>
      <c r="C412" s="335"/>
      <c r="D412" s="182"/>
      <c r="E412" s="231" t="s">
        <v>1134</v>
      </c>
      <c r="F412" s="191" t="s">
        <v>217</v>
      </c>
      <c r="G412" s="197">
        <v>1</v>
      </c>
      <c r="H412" s="21"/>
      <c r="I412" s="333"/>
      <c r="J412" s="319" t="s">
        <v>1126</v>
      </c>
    </row>
    <row r="413" spans="1:10" ht="29.25" customHeight="1" x14ac:dyDescent="0.25">
      <c r="A413" s="230"/>
      <c r="B413" s="230"/>
      <c r="C413" s="335"/>
      <c r="D413" s="182"/>
      <c r="E413" s="231" t="s">
        <v>1135</v>
      </c>
      <c r="F413" s="191" t="s">
        <v>217</v>
      </c>
      <c r="G413" s="197">
        <v>1</v>
      </c>
      <c r="H413" s="21"/>
      <c r="I413" s="333"/>
      <c r="J413" s="319" t="s">
        <v>1126</v>
      </c>
    </row>
    <row r="414" spans="1:10" ht="35.25" customHeight="1" x14ac:dyDescent="0.25">
      <c r="A414" s="230"/>
      <c r="B414" s="230"/>
      <c r="C414" s="335"/>
      <c r="D414" s="182"/>
      <c r="E414" s="176" t="s">
        <v>1136</v>
      </c>
      <c r="F414" s="1344"/>
      <c r="G414" s="1345"/>
      <c r="H414" s="21"/>
      <c r="I414" s="333"/>
      <c r="J414" s="319"/>
    </row>
    <row r="415" spans="1:10" ht="25.5" customHeight="1" x14ac:dyDescent="0.25">
      <c r="A415" s="230"/>
      <c r="B415" s="230"/>
      <c r="C415" s="335"/>
      <c r="D415" s="182"/>
      <c r="E415" s="231" t="s">
        <v>1130</v>
      </c>
      <c r="F415" s="232" t="s">
        <v>217</v>
      </c>
      <c r="G415" s="233">
        <v>1</v>
      </c>
      <c r="H415" s="21"/>
      <c r="I415" s="333"/>
      <c r="J415" s="319" t="s">
        <v>1126</v>
      </c>
    </row>
    <row r="416" spans="1:10" ht="33" customHeight="1" x14ac:dyDescent="0.25">
      <c r="A416" s="230"/>
      <c r="B416" s="230"/>
      <c r="C416" s="335"/>
      <c r="D416" s="182"/>
      <c r="E416" s="231" t="s">
        <v>1134</v>
      </c>
      <c r="F416" s="232" t="s">
        <v>217</v>
      </c>
      <c r="G416" s="233">
        <v>1</v>
      </c>
      <c r="H416" s="21"/>
      <c r="I416" s="333"/>
      <c r="J416" s="319" t="s">
        <v>1126</v>
      </c>
    </row>
    <row r="417" spans="1:10" ht="27" customHeight="1" x14ac:dyDescent="0.25">
      <c r="A417" s="230"/>
      <c r="B417" s="230"/>
      <c r="C417" s="335"/>
      <c r="D417" s="182"/>
      <c r="E417" s="231" t="s">
        <v>1135</v>
      </c>
      <c r="F417" s="232" t="s">
        <v>217</v>
      </c>
      <c r="G417" s="233">
        <v>1</v>
      </c>
      <c r="H417" s="21"/>
      <c r="I417" s="333"/>
      <c r="J417" s="319" t="s">
        <v>1126</v>
      </c>
    </row>
    <row r="418" spans="1:10" ht="69" customHeight="1" x14ac:dyDescent="0.25">
      <c r="A418" s="230"/>
      <c r="B418" s="230"/>
      <c r="C418" s="335"/>
      <c r="D418" s="182"/>
      <c r="E418" s="329" t="s">
        <v>1137</v>
      </c>
      <c r="F418" s="197" t="s">
        <v>381</v>
      </c>
      <c r="G418" s="197" t="s">
        <v>1138</v>
      </c>
      <c r="H418" s="21" t="s">
        <v>1139</v>
      </c>
      <c r="I418" s="322" t="s">
        <v>1246</v>
      </c>
      <c r="J418" s="319" t="s">
        <v>1126</v>
      </c>
    </row>
    <row r="419" spans="1:10" ht="83.25" customHeight="1" x14ac:dyDescent="0.25">
      <c r="A419" s="230"/>
      <c r="B419" s="230"/>
      <c r="C419" s="335"/>
      <c r="D419" s="182"/>
      <c r="E419" s="329" t="s">
        <v>1140</v>
      </c>
      <c r="F419" s="53" t="s">
        <v>1141</v>
      </c>
      <c r="G419" s="53" t="s">
        <v>1142</v>
      </c>
      <c r="H419" s="21" t="s">
        <v>1143</v>
      </c>
      <c r="I419" s="322" t="s">
        <v>1246</v>
      </c>
      <c r="J419" s="319" t="s">
        <v>1126</v>
      </c>
    </row>
    <row r="420" spans="1:10" ht="48.75" customHeight="1" x14ac:dyDescent="0.25">
      <c r="A420" s="230"/>
      <c r="B420" s="230"/>
      <c r="C420" s="335"/>
      <c r="D420" s="182"/>
      <c r="E420" s="329"/>
      <c r="F420" s="53"/>
      <c r="G420" s="53"/>
      <c r="H420" s="21" t="s">
        <v>1810</v>
      </c>
      <c r="I420" s="322" t="s">
        <v>1246</v>
      </c>
      <c r="J420" s="319" t="s">
        <v>1126</v>
      </c>
    </row>
    <row r="421" spans="1:10" ht="54.75" customHeight="1" x14ac:dyDescent="0.25">
      <c r="A421" s="230"/>
      <c r="B421" s="230"/>
      <c r="C421" s="335"/>
      <c r="D421" s="182"/>
      <c r="E421" s="329"/>
      <c r="F421" s="53"/>
      <c r="G421" s="53"/>
      <c r="H421" s="21" t="s">
        <v>1811</v>
      </c>
      <c r="I421" s="322" t="s">
        <v>1246</v>
      </c>
      <c r="J421" s="319" t="s">
        <v>1126</v>
      </c>
    </row>
    <row r="422" spans="1:10" ht="57.75" customHeight="1" x14ac:dyDescent="0.25">
      <c r="A422" s="230"/>
      <c r="B422" s="230"/>
      <c r="C422" s="335"/>
      <c r="D422" s="182"/>
      <c r="E422" s="329"/>
      <c r="F422" s="53"/>
      <c r="G422" s="53"/>
      <c r="H422" s="21" t="s">
        <v>1812</v>
      </c>
      <c r="I422" s="322" t="s">
        <v>1246</v>
      </c>
      <c r="J422" s="319" t="s">
        <v>1126</v>
      </c>
    </row>
    <row r="423" spans="1:10" ht="123.75" customHeight="1" x14ac:dyDescent="0.25">
      <c r="A423" s="82" t="s">
        <v>1144</v>
      </c>
      <c r="B423" s="67" t="s">
        <v>1145</v>
      </c>
      <c r="C423" s="234" t="s">
        <v>1146</v>
      </c>
      <c r="D423" s="62" t="s">
        <v>1147</v>
      </c>
      <c r="E423" s="176" t="s">
        <v>1148</v>
      </c>
      <c r="F423" s="34">
        <v>0.24</v>
      </c>
      <c r="G423" s="34">
        <v>0.95</v>
      </c>
      <c r="H423" s="21" t="s">
        <v>1149</v>
      </c>
      <c r="I423" s="332" t="s">
        <v>1150</v>
      </c>
      <c r="J423" s="332" t="s">
        <v>456</v>
      </c>
    </row>
    <row r="424" spans="1:10" ht="149.25" customHeight="1" x14ac:dyDescent="0.25">
      <c r="A424" s="66"/>
      <c r="B424" s="66"/>
      <c r="C424" s="26"/>
      <c r="D424" s="181"/>
      <c r="E424" s="176" t="s">
        <v>1151</v>
      </c>
      <c r="F424" s="34">
        <v>0</v>
      </c>
      <c r="G424" s="34">
        <v>1</v>
      </c>
      <c r="H424" s="21" t="s">
        <v>1152</v>
      </c>
      <c r="I424" s="332" t="s">
        <v>1150</v>
      </c>
      <c r="J424" s="332" t="s">
        <v>456</v>
      </c>
    </row>
    <row r="425" spans="1:10" ht="108.75" customHeight="1" x14ac:dyDescent="0.25">
      <c r="A425" s="66"/>
      <c r="B425" s="66"/>
      <c r="C425" s="26"/>
      <c r="D425" s="181"/>
      <c r="E425" s="176" t="s">
        <v>1153</v>
      </c>
      <c r="F425" s="34">
        <v>0</v>
      </c>
      <c r="G425" s="34">
        <v>1</v>
      </c>
      <c r="H425" s="21" t="s">
        <v>1154</v>
      </c>
      <c r="I425" s="332" t="s">
        <v>1150</v>
      </c>
      <c r="J425" s="332" t="s">
        <v>456</v>
      </c>
    </row>
    <row r="426" spans="1:10" ht="144.75" customHeight="1" x14ac:dyDescent="0.25">
      <c r="A426" s="66"/>
      <c r="B426" s="66"/>
      <c r="C426" s="48"/>
      <c r="D426" s="357"/>
      <c r="E426" s="235" t="s">
        <v>1155</v>
      </c>
      <c r="F426" s="196">
        <v>0</v>
      </c>
      <c r="G426" s="196">
        <v>1</v>
      </c>
      <c r="H426" s="21"/>
      <c r="I426" s="171" t="s">
        <v>1150</v>
      </c>
      <c r="J426" s="171" t="s">
        <v>456</v>
      </c>
    </row>
    <row r="427" spans="1:10" ht="85.5" customHeight="1" x14ac:dyDescent="0.25">
      <c r="A427" s="66"/>
      <c r="B427" s="66"/>
      <c r="C427" s="26"/>
      <c r="D427" s="181"/>
      <c r="E427" s="41" t="s">
        <v>1156</v>
      </c>
      <c r="F427" s="34">
        <v>1</v>
      </c>
      <c r="G427" s="34">
        <v>1</v>
      </c>
      <c r="H427" s="21"/>
      <c r="I427" s="332" t="s">
        <v>1150</v>
      </c>
      <c r="J427" s="332" t="s">
        <v>456</v>
      </c>
    </row>
    <row r="428" spans="1:10" ht="104.25" customHeight="1" x14ac:dyDescent="0.25">
      <c r="A428" s="66"/>
      <c r="B428" s="66"/>
      <c r="C428" s="26"/>
      <c r="D428" s="181"/>
      <c r="E428" s="41" t="s">
        <v>1157</v>
      </c>
      <c r="F428" s="34">
        <v>0</v>
      </c>
      <c r="G428" s="34">
        <v>0</v>
      </c>
      <c r="H428" s="21"/>
      <c r="I428" s="332" t="s">
        <v>1150</v>
      </c>
      <c r="J428" s="332" t="s">
        <v>456</v>
      </c>
    </row>
    <row r="429" spans="1:10" ht="116.25" customHeight="1" x14ac:dyDescent="0.25">
      <c r="A429" s="66"/>
      <c r="B429" s="66"/>
      <c r="C429" s="26"/>
      <c r="D429" s="181"/>
      <c r="E429" s="41" t="s">
        <v>1158</v>
      </c>
      <c r="F429" s="34">
        <v>0</v>
      </c>
      <c r="G429" s="34">
        <v>0.99</v>
      </c>
      <c r="H429" s="21" t="s">
        <v>1159</v>
      </c>
      <c r="I429" s="332" t="s">
        <v>1150</v>
      </c>
      <c r="J429" s="332" t="s">
        <v>456</v>
      </c>
    </row>
    <row r="430" spans="1:10" ht="114.75" customHeight="1" x14ac:dyDescent="0.25">
      <c r="A430" s="22"/>
      <c r="B430" s="22"/>
      <c r="C430" s="335"/>
      <c r="D430" s="337" t="s">
        <v>1160</v>
      </c>
      <c r="E430" s="21" t="s">
        <v>1161</v>
      </c>
      <c r="F430" s="319" t="s">
        <v>1162</v>
      </c>
      <c r="G430" s="319" t="s">
        <v>1162</v>
      </c>
      <c r="H430" s="335" t="s">
        <v>1163</v>
      </c>
      <c r="I430" s="1329" t="s">
        <v>1855</v>
      </c>
      <c r="J430" s="322" t="s">
        <v>1164</v>
      </c>
    </row>
    <row r="431" spans="1:10" ht="51" x14ac:dyDescent="0.25">
      <c r="A431" s="22"/>
      <c r="B431" s="22"/>
      <c r="C431" s="335"/>
      <c r="D431" s="337" t="s">
        <v>1160</v>
      </c>
      <c r="E431" s="21" t="s">
        <v>1161</v>
      </c>
      <c r="F431" s="319" t="s">
        <v>1165</v>
      </c>
      <c r="G431" s="319" t="s">
        <v>1166</v>
      </c>
      <c r="H431" s="335" t="s">
        <v>1163</v>
      </c>
      <c r="I431" s="1330"/>
      <c r="J431" s="322" t="s">
        <v>1167</v>
      </c>
    </row>
    <row r="432" spans="1:10" ht="51" x14ac:dyDescent="0.25">
      <c r="A432" s="22"/>
      <c r="B432" s="22"/>
      <c r="C432" s="335"/>
      <c r="D432" s="337" t="s">
        <v>1160</v>
      </c>
      <c r="E432" s="21" t="s">
        <v>1161</v>
      </c>
      <c r="F432" s="319" t="s">
        <v>1168</v>
      </c>
      <c r="G432" s="319" t="s">
        <v>1168</v>
      </c>
      <c r="H432" s="335" t="s">
        <v>1163</v>
      </c>
      <c r="I432" s="1330"/>
      <c r="J432" s="322" t="s">
        <v>1169</v>
      </c>
    </row>
    <row r="433" spans="1:10" ht="51" x14ac:dyDescent="0.25">
      <c r="A433" s="22"/>
      <c r="B433" s="22"/>
      <c r="C433" s="335"/>
      <c r="D433" s="337" t="s">
        <v>1160</v>
      </c>
      <c r="E433" s="21" t="s">
        <v>1161</v>
      </c>
      <c r="F433" s="319" t="s">
        <v>1170</v>
      </c>
      <c r="G433" s="319" t="s">
        <v>1170</v>
      </c>
      <c r="H433" s="335" t="s">
        <v>1163</v>
      </c>
      <c r="I433" s="1330"/>
      <c r="J433" s="322" t="s">
        <v>1171</v>
      </c>
    </row>
    <row r="434" spans="1:10" ht="51" x14ac:dyDescent="0.25">
      <c r="A434" s="22"/>
      <c r="B434" s="22"/>
      <c r="C434" s="335"/>
      <c r="D434" s="337" t="s">
        <v>1160</v>
      </c>
      <c r="E434" s="21" t="s">
        <v>1161</v>
      </c>
      <c r="F434" s="319" t="s">
        <v>1172</v>
      </c>
      <c r="G434" s="319" t="s">
        <v>1172</v>
      </c>
      <c r="H434" s="335" t="s">
        <v>1163</v>
      </c>
      <c r="I434" s="1330"/>
      <c r="J434" s="322" t="s">
        <v>1173</v>
      </c>
    </row>
    <row r="435" spans="1:10" ht="51" x14ac:dyDescent="0.25">
      <c r="A435" s="22"/>
      <c r="B435" s="22"/>
      <c r="C435" s="335"/>
      <c r="D435" s="337" t="s">
        <v>1160</v>
      </c>
      <c r="E435" s="21" t="s">
        <v>1161</v>
      </c>
      <c r="F435" s="319" t="s">
        <v>1174</v>
      </c>
      <c r="G435" s="319" t="s">
        <v>1174</v>
      </c>
      <c r="H435" s="335" t="s">
        <v>1163</v>
      </c>
      <c r="I435" s="1330"/>
      <c r="J435" s="322" t="s">
        <v>1175</v>
      </c>
    </row>
    <row r="436" spans="1:10" ht="51" x14ac:dyDescent="0.25">
      <c r="A436" s="22"/>
      <c r="B436" s="22"/>
      <c r="C436" s="335"/>
      <c r="D436" s="337" t="s">
        <v>1160</v>
      </c>
      <c r="E436" s="21" t="s">
        <v>1161</v>
      </c>
      <c r="F436" s="319" t="s">
        <v>1162</v>
      </c>
      <c r="G436" s="319" t="s">
        <v>1162</v>
      </c>
      <c r="H436" s="335" t="s">
        <v>1163</v>
      </c>
      <c r="I436" s="1330"/>
      <c r="J436" s="336" t="s">
        <v>1176</v>
      </c>
    </row>
    <row r="437" spans="1:10" ht="51" x14ac:dyDescent="0.25">
      <c r="A437" s="22"/>
      <c r="B437" s="22"/>
      <c r="C437" s="335"/>
      <c r="D437" s="337" t="s">
        <v>1160</v>
      </c>
      <c r="E437" s="21" t="s">
        <v>1161</v>
      </c>
      <c r="F437" s="319" t="s">
        <v>1177</v>
      </c>
      <c r="G437" s="319" t="s">
        <v>1177</v>
      </c>
      <c r="H437" s="335" t="s">
        <v>1163</v>
      </c>
      <c r="I437" s="1330"/>
      <c r="J437" s="322" t="s">
        <v>1178</v>
      </c>
    </row>
    <row r="438" spans="1:10" ht="51" x14ac:dyDescent="0.25">
      <c r="A438" s="22"/>
      <c r="B438" s="22"/>
      <c r="C438" s="335"/>
      <c r="D438" s="337" t="s">
        <v>1160</v>
      </c>
      <c r="E438" s="21" t="s">
        <v>1161</v>
      </c>
      <c r="F438" s="319" t="s">
        <v>1179</v>
      </c>
      <c r="G438" s="319" t="s">
        <v>1179</v>
      </c>
      <c r="H438" s="335" t="s">
        <v>1163</v>
      </c>
      <c r="I438" s="1330"/>
      <c r="J438" s="322" t="s">
        <v>1180</v>
      </c>
    </row>
    <row r="439" spans="1:10" ht="51" x14ac:dyDescent="0.25">
      <c r="A439" s="22"/>
      <c r="B439" s="22"/>
      <c r="C439" s="335"/>
      <c r="D439" s="337" t="s">
        <v>1160</v>
      </c>
      <c r="E439" s="21" t="s">
        <v>1161</v>
      </c>
      <c r="F439" s="319" t="s">
        <v>1181</v>
      </c>
      <c r="G439" s="319" t="s">
        <v>1181</v>
      </c>
      <c r="H439" s="335" t="s">
        <v>1163</v>
      </c>
      <c r="I439" s="1331"/>
      <c r="J439" s="319" t="s">
        <v>1182</v>
      </c>
    </row>
    <row r="440" spans="1:10" ht="76.5" x14ac:dyDescent="0.25">
      <c r="A440" s="67" t="s">
        <v>1183</v>
      </c>
      <c r="B440" s="67" t="s">
        <v>1184</v>
      </c>
      <c r="C440" s="343" t="s">
        <v>1185</v>
      </c>
      <c r="D440" s="337" t="s">
        <v>1186</v>
      </c>
      <c r="E440" s="21" t="s">
        <v>1187</v>
      </c>
      <c r="F440" s="34">
        <v>0.25</v>
      </c>
      <c r="G440" s="34">
        <v>1</v>
      </c>
      <c r="H440" s="21" t="s">
        <v>1188</v>
      </c>
      <c r="I440" s="332" t="s">
        <v>1189</v>
      </c>
      <c r="J440" s="332" t="s">
        <v>456</v>
      </c>
    </row>
    <row r="441" spans="1:10" x14ac:dyDescent="0.25">
      <c r="A441" s="236" t="s">
        <v>1190</v>
      </c>
      <c r="B441" s="1332" t="s">
        <v>1191</v>
      </c>
      <c r="C441" s="1332"/>
      <c r="D441" s="1332"/>
      <c r="E441" s="1332"/>
      <c r="F441" s="1332"/>
      <c r="G441" s="1332"/>
      <c r="H441" s="1332"/>
      <c r="I441" s="1332"/>
      <c r="J441" s="1332"/>
    </row>
    <row r="442" spans="1:10" ht="76.5" hidden="1" x14ac:dyDescent="0.25">
      <c r="A442" s="214" t="s">
        <v>1192</v>
      </c>
      <c r="B442" s="214" t="s">
        <v>1193</v>
      </c>
      <c r="C442" s="214" t="s">
        <v>1194</v>
      </c>
      <c r="D442" s="402" t="s">
        <v>1195</v>
      </c>
      <c r="E442" s="318" t="s">
        <v>1196</v>
      </c>
      <c r="F442" s="237"/>
      <c r="G442" s="237"/>
      <c r="H442" s="238"/>
      <c r="I442" s="239" t="s">
        <v>1247</v>
      </c>
      <c r="J442" s="240" t="s">
        <v>1197</v>
      </c>
    </row>
    <row r="443" spans="1:10" ht="25.5" hidden="1" x14ac:dyDescent="0.25">
      <c r="A443" s="214"/>
      <c r="B443" s="214"/>
      <c r="C443" s="214"/>
      <c r="D443" s="402"/>
      <c r="E443" s="318" t="s">
        <v>1198</v>
      </c>
      <c r="F443" s="237"/>
      <c r="G443" s="237"/>
      <c r="H443" s="241"/>
      <c r="I443" s="239" t="s">
        <v>1247</v>
      </c>
      <c r="J443" s="240" t="s">
        <v>1197</v>
      </c>
    </row>
    <row r="444" spans="1:10" ht="25.5" hidden="1" x14ac:dyDescent="0.25">
      <c r="A444" s="214"/>
      <c r="B444" s="214"/>
      <c r="C444" s="214"/>
      <c r="D444" s="402"/>
      <c r="E444" s="318" t="s">
        <v>1199</v>
      </c>
      <c r="F444" s="237"/>
      <c r="G444" s="237"/>
      <c r="H444" s="241"/>
      <c r="I444" s="239" t="s">
        <v>1247</v>
      </c>
      <c r="J444" s="240" t="s">
        <v>1197</v>
      </c>
    </row>
    <row r="445" spans="1:10" ht="114.75" customHeight="1" x14ac:dyDescent="0.25">
      <c r="A445" s="214" t="s">
        <v>1192</v>
      </c>
      <c r="B445" s="214" t="s">
        <v>1193</v>
      </c>
      <c r="C445" s="214" t="s">
        <v>1194</v>
      </c>
      <c r="D445" s="402" t="s">
        <v>1195</v>
      </c>
      <c r="E445" s="340" t="s">
        <v>1200</v>
      </c>
      <c r="F445" s="242" t="s">
        <v>35</v>
      </c>
      <c r="G445" s="345" t="s">
        <v>1201</v>
      </c>
      <c r="H445" s="329" t="s">
        <v>1202</v>
      </c>
      <c r="I445" s="1329" t="s">
        <v>1855</v>
      </c>
      <c r="J445" s="322" t="s">
        <v>1164</v>
      </c>
    </row>
    <row r="446" spans="1:10" ht="63.75" x14ac:dyDescent="0.25">
      <c r="A446" s="22"/>
      <c r="B446" s="22"/>
      <c r="C446" s="335"/>
      <c r="D446" s="337"/>
      <c r="E446" s="340" t="s">
        <v>1200</v>
      </c>
      <c r="F446" s="191" t="s">
        <v>217</v>
      </c>
      <c r="G446" s="319" t="s">
        <v>1203</v>
      </c>
      <c r="H446" s="329" t="s">
        <v>1202</v>
      </c>
      <c r="I446" s="1330"/>
      <c r="J446" s="322" t="s">
        <v>1167</v>
      </c>
    </row>
    <row r="447" spans="1:10" ht="63.75" x14ac:dyDescent="0.25">
      <c r="A447" s="22"/>
      <c r="B447" s="22"/>
      <c r="C447" s="313"/>
      <c r="D447" s="341"/>
      <c r="E447" s="340" t="s">
        <v>1200</v>
      </c>
      <c r="F447" s="242" t="s">
        <v>217</v>
      </c>
      <c r="G447" s="345" t="s">
        <v>1204</v>
      </c>
      <c r="H447" s="329" t="s">
        <v>1202</v>
      </c>
      <c r="I447" s="1330"/>
      <c r="J447" s="322" t="s">
        <v>1169</v>
      </c>
    </row>
    <row r="448" spans="1:10" ht="63.75" x14ac:dyDescent="0.25">
      <c r="A448" s="22"/>
      <c r="B448" s="22"/>
      <c r="C448" s="313"/>
      <c r="D448" s="341"/>
      <c r="E448" s="340" t="s">
        <v>1200</v>
      </c>
      <c r="F448" s="242" t="s">
        <v>217</v>
      </c>
      <c r="G448" s="319" t="s">
        <v>1205</v>
      </c>
      <c r="H448" s="329" t="s">
        <v>1202</v>
      </c>
      <c r="I448" s="1330"/>
      <c r="J448" s="322" t="s">
        <v>1171</v>
      </c>
    </row>
    <row r="449" spans="1:10" ht="63.75" x14ac:dyDescent="0.25">
      <c r="A449" s="22"/>
      <c r="B449" s="22"/>
      <c r="C449" s="313"/>
      <c r="D449" s="341"/>
      <c r="E449" s="340" t="s">
        <v>1200</v>
      </c>
      <c r="F449" s="242" t="s">
        <v>217</v>
      </c>
      <c r="G449" s="345" t="s">
        <v>1206</v>
      </c>
      <c r="H449" s="329" t="s">
        <v>1202</v>
      </c>
      <c r="I449" s="1330"/>
      <c r="J449" s="322" t="s">
        <v>1173</v>
      </c>
    </row>
    <row r="450" spans="1:10" ht="63.75" x14ac:dyDescent="0.25">
      <c r="A450" s="22"/>
      <c r="B450" s="22"/>
      <c r="C450" s="313"/>
      <c r="D450" s="341"/>
      <c r="E450" s="340" t="s">
        <v>1200</v>
      </c>
      <c r="F450" s="242" t="s">
        <v>217</v>
      </c>
      <c r="G450" s="345" t="s">
        <v>1207</v>
      </c>
      <c r="H450" s="329" t="s">
        <v>1202</v>
      </c>
      <c r="I450" s="1330"/>
      <c r="J450" s="322" t="s">
        <v>1175</v>
      </c>
    </row>
    <row r="451" spans="1:10" ht="63.75" x14ac:dyDescent="0.25">
      <c r="A451" s="22"/>
      <c r="B451" s="22"/>
      <c r="C451" s="313"/>
      <c r="D451" s="341"/>
      <c r="E451" s="340" t="s">
        <v>1200</v>
      </c>
      <c r="F451" s="242" t="s">
        <v>217</v>
      </c>
      <c r="G451" s="345" t="s">
        <v>1208</v>
      </c>
      <c r="H451" s="329" t="s">
        <v>1202</v>
      </c>
      <c r="I451" s="1330"/>
      <c r="J451" s="336" t="s">
        <v>1176</v>
      </c>
    </row>
    <row r="452" spans="1:10" ht="63.75" x14ac:dyDescent="0.25">
      <c r="A452" s="22"/>
      <c r="B452" s="22"/>
      <c r="C452" s="313"/>
      <c r="D452" s="341"/>
      <c r="E452" s="340" t="s">
        <v>1200</v>
      </c>
      <c r="F452" s="242" t="s">
        <v>217</v>
      </c>
      <c r="G452" s="345" t="s">
        <v>1209</v>
      </c>
      <c r="H452" s="329" t="s">
        <v>1202</v>
      </c>
      <c r="I452" s="1330"/>
      <c r="J452" s="322" t="s">
        <v>1178</v>
      </c>
    </row>
    <row r="453" spans="1:10" ht="63.75" x14ac:dyDescent="0.25">
      <c r="A453" s="22"/>
      <c r="B453" s="22"/>
      <c r="C453" s="313"/>
      <c r="D453" s="341"/>
      <c r="E453" s="340" t="s">
        <v>1200</v>
      </c>
      <c r="F453" s="242" t="s">
        <v>217</v>
      </c>
      <c r="G453" s="345" t="s">
        <v>1210</v>
      </c>
      <c r="H453" s="329" t="s">
        <v>1202</v>
      </c>
      <c r="I453" s="1330"/>
      <c r="J453" s="322" t="s">
        <v>1180</v>
      </c>
    </row>
    <row r="454" spans="1:10" ht="63.75" x14ac:dyDescent="0.25">
      <c r="A454" s="22"/>
      <c r="B454" s="22"/>
      <c r="C454" s="313"/>
      <c r="D454" s="341"/>
      <c r="E454" s="340" t="s">
        <v>1200</v>
      </c>
      <c r="F454" s="242" t="s">
        <v>217</v>
      </c>
      <c r="G454" s="345" t="s">
        <v>1211</v>
      </c>
      <c r="H454" s="329" t="s">
        <v>1202</v>
      </c>
      <c r="I454" s="1331"/>
      <c r="J454" s="319" t="s">
        <v>1182</v>
      </c>
    </row>
    <row r="455" spans="1:10" ht="63.75" x14ac:dyDescent="0.25">
      <c r="A455" s="214"/>
      <c r="B455" s="214"/>
      <c r="C455" s="214" t="s">
        <v>1212</v>
      </c>
      <c r="D455" s="402" t="s">
        <v>1213</v>
      </c>
      <c r="E455" s="330" t="s">
        <v>1214</v>
      </c>
      <c r="F455" s="237">
        <v>0.24</v>
      </c>
      <c r="G455" s="237">
        <v>0.04</v>
      </c>
      <c r="H455" s="238" t="s">
        <v>1215</v>
      </c>
      <c r="I455" s="322" t="s">
        <v>1246</v>
      </c>
      <c r="J455" s="240" t="s">
        <v>1217</v>
      </c>
    </row>
    <row r="456" spans="1:10" ht="51" x14ac:dyDescent="0.25">
      <c r="A456" s="214"/>
      <c r="B456" s="214"/>
      <c r="C456" s="214"/>
      <c r="D456" s="402"/>
      <c r="E456" s="328" t="s">
        <v>1218</v>
      </c>
      <c r="F456" s="237">
        <v>0</v>
      </c>
      <c r="G456" s="237">
        <v>0.8</v>
      </c>
      <c r="H456" s="403" t="s">
        <v>1219</v>
      </c>
      <c r="I456" s="322" t="s">
        <v>1246</v>
      </c>
      <c r="J456" s="240" t="s">
        <v>1217</v>
      </c>
    </row>
    <row r="457" spans="1:10" ht="51" x14ac:dyDescent="0.25">
      <c r="A457" s="214"/>
      <c r="B457" s="214"/>
      <c r="C457" s="214"/>
      <c r="D457" s="402"/>
      <c r="E457" s="330" t="s">
        <v>1221</v>
      </c>
      <c r="F457" s="237">
        <v>0</v>
      </c>
      <c r="G457" s="237">
        <v>0.8</v>
      </c>
      <c r="H457" s="404"/>
      <c r="I457" s="322" t="s">
        <v>1246</v>
      </c>
      <c r="J457" s="240" t="s">
        <v>1217</v>
      </c>
    </row>
    <row r="458" spans="1:10" ht="38.25" x14ac:dyDescent="0.25">
      <c r="A458" s="214"/>
      <c r="B458" s="214"/>
      <c r="C458" s="214"/>
      <c r="D458" s="402"/>
      <c r="E458" s="328" t="s">
        <v>1223</v>
      </c>
      <c r="F458" s="237">
        <v>0</v>
      </c>
      <c r="G458" s="237">
        <v>0.8</v>
      </c>
      <c r="H458" s="404"/>
      <c r="I458" s="322" t="s">
        <v>1246</v>
      </c>
      <c r="J458" s="245" t="s">
        <v>1197</v>
      </c>
    </row>
    <row r="459" spans="1:10" ht="38.25" x14ac:dyDescent="0.25">
      <c r="A459" s="214"/>
      <c r="B459" s="214"/>
      <c r="C459" s="214"/>
      <c r="D459" s="402"/>
      <c r="E459" s="176" t="s">
        <v>1224</v>
      </c>
      <c r="F459" s="237">
        <v>0</v>
      </c>
      <c r="G459" s="237">
        <v>0.8</v>
      </c>
      <c r="H459" s="405"/>
      <c r="I459" s="322" t="s">
        <v>1246</v>
      </c>
      <c r="J459" s="245" t="s">
        <v>1217</v>
      </c>
    </row>
    <row r="460" spans="1:10" ht="51" x14ac:dyDescent="0.25">
      <c r="A460" s="214"/>
      <c r="B460" s="214"/>
      <c r="C460" s="214"/>
      <c r="D460" s="406" t="s">
        <v>1225</v>
      </c>
      <c r="E460" s="174" t="s">
        <v>1226</v>
      </c>
      <c r="F460" s="237" t="s">
        <v>1227</v>
      </c>
      <c r="G460" s="237" t="s">
        <v>217</v>
      </c>
      <c r="H460" s="404"/>
      <c r="I460" s="322" t="s">
        <v>1246</v>
      </c>
      <c r="J460" s="245" t="s">
        <v>1217</v>
      </c>
    </row>
    <row r="461" spans="1:10" ht="38.25" x14ac:dyDescent="0.25">
      <c r="A461" s="214"/>
      <c r="B461" s="214"/>
      <c r="C461" s="214"/>
      <c r="D461" s="407"/>
      <c r="E461" s="174" t="s">
        <v>1229</v>
      </c>
      <c r="F461" s="237">
        <v>0.03</v>
      </c>
      <c r="G461" s="237">
        <v>0.03</v>
      </c>
      <c r="H461" s="404"/>
      <c r="I461" s="322" t="s">
        <v>1246</v>
      </c>
      <c r="J461" s="245" t="s">
        <v>1217</v>
      </c>
    </row>
    <row r="462" spans="1:10" ht="38.25" x14ac:dyDescent="0.25">
      <c r="A462" s="214"/>
      <c r="B462" s="214"/>
      <c r="C462" s="1333" t="s">
        <v>1230</v>
      </c>
      <c r="D462" s="1334" t="s">
        <v>1231</v>
      </c>
      <c r="E462" s="176" t="s">
        <v>1232</v>
      </c>
      <c r="F462" s="249" t="s">
        <v>1233</v>
      </c>
      <c r="G462" s="237" t="s">
        <v>1234</v>
      </c>
      <c r="H462" s="404"/>
      <c r="I462" s="322" t="s">
        <v>1246</v>
      </c>
      <c r="J462" s="245" t="s">
        <v>1217</v>
      </c>
    </row>
    <row r="463" spans="1:10" ht="38.25" x14ac:dyDescent="0.25">
      <c r="A463" s="214"/>
      <c r="B463" s="214"/>
      <c r="C463" s="1333"/>
      <c r="D463" s="1334"/>
      <c r="E463" s="176" t="s">
        <v>1236</v>
      </c>
      <c r="F463" s="237" t="s">
        <v>1237</v>
      </c>
      <c r="G463" s="237" t="s">
        <v>1238</v>
      </c>
      <c r="H463" s="408"/>
      <c r="I463" s="322" t="s">
        <v>1246</v>
      </c>
      <c r="J463" s="245" t="s">
        <v>1217</v>
      </c>
    </row>
    <row r="464" spans="1:10" ht="63.75" x14ac:dyDescent="0.25">
      <c r="A464" s="251" t="s">
        <v>1239</v>
      </c>
      <c r="B464" s="251" t="s">
        <v>1240</v>
      </c>
      <c r="C464" s="67" t="s">
        <v>1241</v>
      </c>
      <c r="D464" s="143" t="s">
        <v>1242</v>
      </c>
      <c r="E464" s="335" t="s">
        <v>1243</v>
      </c>
      <c r="F464" s="319" t="s">
        <v>1244</v>
      </c>
      <c r="G464" s="34">
        <v>1</v>
      </c>
      <c r="H464" s="22" t="s">
        <v>1245</v>
      </c>
      <c r="I464" s="322" t="s">
        <v>1246</v>
      </c>
      <c r="J464" s="319" t="s">
        <v>1247</v>
      </c>
    </row>
    <row r="465" spans="1:10" ht="38.25" x14ac:dyDescent="0.25">
      <c r="A465" s="252"/>
      <c r="B465" s="252"/>
      <c r="C465" s="66"/>
      <c r="D465" s="181"/>
      <c r="E465" s="335" t="s">
        <v>1248</v>
      </c>
      <c r="F465" s="319" t="s">
        <v>1249</v>
      </c>
      <c r="G465" s="319" t="s">
        <v>1250</v>
      </c>
      <c r="H465" s="1335" t="s">
        <v>1251</v>
      </c>
      <c r="I465" s="322" t="s">
        <v>1246</v>
      </c>
      <c r="J465" s="319" t="s">
        <v>1247</v>
      </c>
    </row>
    <row r="466" spans="1:10" ht="51" x14ac:dyDescent="0.25">
      <c r="A466" s="252"/>
      <c r="B466" s="252"/>
      <c r="C466" s="66"/>
      <c r="D466" s="181"/>
      <c r="E466" s="335" t="s">
        <v>1252</v>
      </c>
      <c r="F466" s="34">
        <v>0.13</v>
      </c>
      <c r="G466" s="34">
        <v>0.06</v>
      </c>
      <c r="H466" s="1336"/>
      <c r="I466" s="322" t="s">
        <v>1246</v>
      </c>
      <c r="J466" s="319" t="s">
        <v>1247</v>
      </c>
    </row>
    <row r="467" spans="1:10" x14ac:dyDescent="0.25">
      <c r="A467" s="175"/>
    </row>
    <row r="468" spans="1:10" x14ac:dyDescent="0.25">
      <c r="A468" s="175"/>
    </row>
    <row r="469" spans="1:10" x14ac:dyDescent="0.25">
      <c r="A469" s="346"/>
      <c r="B469" s="346"/>
      <c r="C469" s="51"/>
      <c r="D469" s="410"/>
      <c r="E469" s="346"/>
      <c r="F469" s="255"/>
      <c r="G469" s="255"/>
      <c r="H469" s="254"/>
      <c r="I469" s="255"/>
      <c r="J469" s="256"/>
    </row>
    <row r="470" spans="1:10" x14ac:dyDescent="0.25">
      <c r="A470" s="257"/>
      <c r="B470" s="257"/>
      <c r="C470" s="257"/>
      <c r="D470" s="411"/>
      <c r="E470" s="258"/>
      <c r="F470" s="257"/>
      <c r="G470" s="257"/>
      <c r="H470" s="346"/>
      <c r="I470" s="257"/>
      <c r="J470" s="256"/>
    </row>
    <row r="471" spans="1:10" x14ac:dyDescent="0.25">
      <c r="A471" s="257"/>
      <c r="B471" s="257"/>
      <c r="C471" s="257"/>
      <c r="D471" s="411"/>
      <c r="E471" s="258"/>
      <c r="F471" s="257"/>
      <c r="G471" s="257"/>
      <c r="H471" s="346"/>
      <c r="I471" s="257"/>
      <c r="J471" s="256"/>
    </row>
    <row r="472" spans="1:10" x14ac:dyDescent="0.25">
      <c r="A472" s="259"/>
      <c r="B472" s="259"/>
      <c r="C472" s="259"/>
      <c r="D472" s="412"/>
      <c r="E472" s="259"/>
      <c r="F472" s="259"/>
      <c r="G472" s="259"/>
      <c r="H472" s="413"/>
      <c r="I472" s="259"/>
      <c r="J472" s="259"/>
    </row>
    <row r="473" spans="1:10" x14ac:dyDescent="0.25">
      <c r="A473" s="259"/>
      <c r="B473" s="259"/>
      <c r="C473" s="259"/>
      <c r="D473" s="412"/>
      <c r="E473" s="259"/>
      <c r="F473" s="259"/>
      <c r="G473" s="259"/>
      <c r="H473" s="413"/>
      <c r="I473" s="259"/>
      <c r="J473" s="259"/>
    </row>
    <row r="474" spans="1:10" x14ac:dyDescent="0.25">
      <c r="A474" s="259"/>
      <c r="B474" s="259"/>
      <c r="C474" s="259"/>
      <c r="D474" s="412"/>
      <c r="E474" s="259"/>
      <c r="F474" s="259"/>
      <c r="G474" s="259"/>
      <c r="H474" s="413"/>
      <c r="I474" s="259"/>
      <c r="J474" s="259"/>
    </row>
    <row r="475" spans="1:10" x14ac:dyDescent="0.25">
      <c r="A475" s="259"/>
      <c r="B475" s="259"/>
      <c r="C475" s="259"/>
      <c r="D475" s="412"/>
      <c r="E475" s="259"/>
      <c r="F475" s="259"/>
      <c r="G475" s="259"/>
      <c r="H475" s="413"/>
      <c r="I475" s="259"/>
      <c r="J475" s="259"/>
    </row>
    <row r="476" spans="1:10" x14ac:dyDescent="0.25">
      <c r="A476" s="259"/>
      <c r="B476" s="259"/>
      <c r="C476" s="259"/>
      <c r="D476" s="412"/>
      <c r="E476" s="259"/>
      <c r="F476" s="259"/>
      <c r="G476" s="259"/>
      <c r="H476" s="413"/>
      <c r="I476" s="259"/>
      <c r="J476" s="259"/>
    </row>
    <row r="477" spans="1:10" s="262" customFormat="1" x14ac:dyDescent="0.25">
      <c r="A477" s="260"/>
      <c r="B477" s="261"/>
      <c r="C477" s="261"/>
      <c r="D477" s="412"/>
      <c r="E477" s="261"/>
      <c r="F477" s="261"/>
      <c r="G477" s="261"/>
      <c r="H477" s="414"/>
      <c r="I477" s="261"/>
      <c r="J477" s="261"/>
    </row>
    <row r="478" spans="1:10" x14ac:dyDescent="0.25">
      <c r="A478" s="259"/>
      <c r="B478" s="259"/>
      <c r="C478" s="259"/>
      <c r="D478" s="412"/>
      <c r="E478" s="259"/>
      <c r="F478" s="259"/>
      <c r="G478" s="259"/>
      <c r="H478" s="413"/>
      <c r="I478" s="259"/>
      <c r="J478" s="259"/>
    </row>
    <row r="479" spans="1:10" s="262" customFormat="1" x14ac:dyDescent="0.25">
      <c r="A479" s="1321"/>
      <c r="B479" s="1321"/>
      <c r="C479" s="1321"/>
      <c r="D479" s="412"/>
      <c r="E479" s="261"/>
      <c r="F479" s="261"/>
      <c r="G479" s="261"/>
      <c r="H479" s="414"/>
      <c r="I479" s="261"/>
      <c r="J479" s="261"/>
    </row>
    <row r="480" spans="1:10" x14ac:dyDescent="0.25">
      <c r="A480" s="1322"/>
      <c r="B480" s="1322"/>
      <c r="C480" s="263"/>
      <c r="D480" s="415"/>
      <c r="E480" s="265"/>
      <c r="F480" s="266"/>
      <c r="G480" s="266"/>
      <c r="H480" s="254"/>
      <c r="I480" s="255"/>
      <c r="J480" s="267"/>
    </row>
    <row r="481" spans="1:10" x14ac:dyDescent="0.25">
      <c r="A481" s="1322"/>
      <c r="B481" s="1322"/>
      <c r="C481" s="263"/>
      <c r="D481" s="415"/>
      <c r="E481" s="265"/>
      <c r="F481" s="266"/>
      <c r="G481" s="266"/>
      <c r="H481" s="254"/>
      <c r="I481" s="255"/>
      <c r="J481" s="267"/>
    </row>
    <row r="482" spans="1:10" x14ac:dyDescent="0.25">
      <c r="A482" s="1322"/>
      <c r="B482" s="1322"/>
      <c r="C482" s="263"/>
      <c r="D482" s="415"/>
      <c r="E482" s="268"/>
      <c r="F482" s="1323"/>
      <c r="G482" s="1323"/>
      <c r="H482" s="1323"/>
      <c r="I482" s="1323"/>
      <c r="J482" s="267"/>
    </row>
    <row r="483" spans="1:10" x14ac:dyDescent="0.25">
      <c r="A483" s="254"/>
      <c r="B483" s="254"/>
      <c r="C483" s="263"/>
      <c r="D483" s="415"/>
      <c r="E483" s="269"/>
      <c r="F483" s="266"/>
      <c r="G483" s="266"/>
      <c r="H483" s="254"/>
      <c r="I483" s="255"/>
      <c r="J483" s="267"/>
    </row>
    <row r="484" spans="1:10" x14ac:dyDescent="0.25">
      <c r="A484" s="254"/>
      <c r="B484" s="254"/>
      <c r="C484" s="263"/>
      <c r="D484" s="415"/>
      <c r="E484" s="269"/>
      <c r="F484" s="266"/>
      <c r="G484" s="266"/>
      <c r="H484" s="254"/>
      <c r="I484" s="255"/>
      <c r="J484" s="267"/>
    </row>
    <row r="485" spans="1:10" x14ac:dyDescent="0.25">
      <c r="A485" s="254"/>
      <c r="B485" s="254"/>
      <c r="C485" s="263"/>
      <c r="D485" s="415"/>
      <c r="E485" s="269"/>
      <c r="F485" s="266"/>
      <c r="G485" s="266"/>
      <c r="H485" s="254"/>
      <c r="I485" s="255"/>
      <c r="J485" s="267"/>
    </row>
    <row r="486" spans="1:10" x14ac:dyDescent="0.25">
      <c r="A486" s="254"/>
      <c r="B486" s="254"/>
      <c r="C486" s="263"/>
      <c r="D486" s="415"/>
      <c r="E486" s="268"/>
      <c r="F486" s="1323"/>
      <c r="G486" s="1323"/>
      <c r="H486" s="1323"/>
      <c r="I486" s="1323"/>
      <c r="J486" s="267"/>
    </row>
    <row r="487" spans="1:10" x14ac:dyDescent="0.25">
      <c r="A487" s="254"/>
      <c r="B487" s="254"/>
      <c r="C487" s="263"/>
      <c r="D487" s="415"/>
      <c r="E487" s="269"/>
      <c r="F487" s="266"/>
      <c r="G487" s="266"/>
      <c r="H487" s="254"/>
      <c r="I487" s="255"/>
      <c r="J487" s="267"/>
    </row>
    <row r="488" spans="1:10" x14ac:dyDescent="0.25">
      <c r="A488" s="254"/>
      <c r="B488" s="254"/>
      <c r="C488" s="263"/>
      <c r="D488" s="415"/>
      <c r="E488" s="269"/>
      <c r="F488" s="266"/>
      <c r="G488" s="266"/>
      <c r="H488" s="254"/>
      <c r="I488" s="255"/>
      <c r="J488" s="267"/>
    </row>
    <row r="489" spans="1:10" x14ac:dyDescent="0.25">
      <c r="A489" s="254"/>
      <c r="B489" s="254"/>
      <c r="C489" s="263"/>
      <c r="D489" s="415"/>
      <c r="E489" s="269"/>
      <c r="F489" s="266"/>
      <c r="G489" s="266"/>
      <c r="H489" s="254"/>
      <c r="I489" s="255"/>
      <c r="J489" s="267"/>
    </row>
    <row r="490" spans="1:10" x14ac:dyDescent="0.25">
      <c r="A490" s="254"/>
      <c r="B490" s="254"/>
      <c r="C490" s="263"/>
      <c r="D490" s="415"/>
      <c r="E490" s="268"/>
      <c r="F490" s="266"/>
      <c r="G490" s="266"/>
      <c r="H490" s="254"/>
      <c r="I490" s="255"/>
      <c r="J490" s="267"/>
    </row>
    <row r="491" spans="1:10" x14ac:dyDescent="0.25">
      <c r="A491" s="254"/>
      <c r="B491" s="254"/>
      <c r="C491" s="263"/>
      <c r="D491" s="415"/>
      <c r="E491" s="268"/>
      <c r="F491" s="266"/>
      <c r="G491" s="266"/>
      <c r="H491" s="254"/>
      <c r="I491" s="255"/>
      <c r="J491" s="267"/>
    </row>
    <row r="492" spans="1:10" x14ac:dyDescent="0.25">
      <c r="A492" s="259"/>
      <c r="B492" s="259"/>
      <c r="C492" s="259"/>
      <c r="D492" s="412"/>
      <c r="E492" s="259"/>
      <c r="F492" s="259"/>
      <c r="G492" s="259"/>
      <c r="H492" s="413"/>
      <c r="I492" s="259"/>
      <c r="J492" s="259"/>
    </row>
    <row r="493" spans="1:10" x14ac:dyDescent="0.25">
      <c r="A493" s="259"/>
      <c r="B493" s="259"/>
      <c r="C493" s="259"/>
      <c r="D493" s="412"/>
      <c r="E493" s="259"/>
      <c r="F493" s="259"/>
      <c r="G493" s="259"/>
      <c r="H493" s="413"/>
      <c r="I493" s="259"/>
      <c r="J493" s="259"/>
    </row>
    <row r="494" spans="1:10" x14ac:dyDescent="0.25">
      <c r="A494" s="259"/>
      <c r="B494" s="259"/>
      <c r="C494" s="259"/>
      <c r="D494" s="412"/>
      <c r="E494" s="259"/>
      <c r="F494" s="259"/>
      <c r="G494" s="259"/>
      <c r="H494" s="413"/>
      <c r="I494" s="259"/>
      <c r="J494" s="259"/>
    </row>
    <row r="495" spans="1:10" x14ac:dyDescent="0.25">
      <c r="A495" s="259"/>
      <c r="B495" s="259"/>
      <c r="C495" s="259"/>
      <c r="D495" s="412"/>
      <c r="E495" s="259"/>
      <c r="F495" s="259"/>
      <c r="G495" s="259"/>
      <c r="H495" s="413"/>
      <c r="I495" s="259"/>
      <c r="J495" s="259"/>
    </row>
    <row r="496" spans="1:10" x14ac:dyDescent="0.25">
      <c r="A496" s="259"/>
      <c r="B496" s="259"/>
      <c r="C496" s="259"/>
      <c r="D496" s="412"/>
      <c r="E496" s="259"/>
      <c r="F496" s="259"/>
      <c r="G496" s="259"/>
      <c r="H496" s="413"/>
      <c r="I496" s="259"/>
      <c r="J496" s="259"/>
    </row>
    <row r="497" spans="1:10" x14ac:dyDescent="0.25">
      <c r="A497" s="259"/>
      <c r="B497" s="259"/>
      <c r="C497" s="259"/>
      <c r="D497" s="412"/>
      <c r="E497" s="259"/>
      <c r="F497" s="259"/>
      <c r="G497" s="259"/>
      <c r="H497" s="413"/>
      <c r="I497" s="259"/>
      <c r="J497" s="259"/>
    </row>
    <row r="498" spans="1:10" x14ac:dyDescent="0.25">
      <c r="A498" s="259"/>
      <c r="B498" s="259"/>
      <c r="C498" s="259"/>
      <c r="D498" s="412"/>
      <c r="E498" s="259"/>
      <c r="F498" s="259"/>
      <c r="G498" s="259"/>
      <c r="H498" s="413"/>
      <c r="I498" s="259"/>
      <c r="J498" s="259"/>
    </row>
    <row r="499" spans="1:10" x14ac:dyDescent="0.25">
      <c r="A499" s="259"/>
      <c r="B499" s="259"/>
      <c r="C499" s="259"/>
      <c r="D499" s="412"/>
      <c r="E499" s="259"/>
      <c r="F499" s="259"/>
      <c r="G499" s="259"/>
      <c r="H499" s="413"/>
      <c r="I499" s="259"/>
      <c r="J499" s="259"/>
    </row>
    <row r="500" spans="1:10" x14ac:dyDescent="0.25">
      <c r="A500" s="259"/>
      <c r="B500" s="259"/>
      <c r="C500" s="259"/>
      <c r="D500" s="412"/>
      <c r="E500" s="259"/>
      <c r="F500" s="259"/>
      <c r="G500" s="259"/>
      <c r="H500" s="413"/>
      <c r="I500" s="259"/>
      <c r="J500" s="259"/>
    </row>
    <row r="501" spans="1:10" x14ac:dyDescent="0.25">
      <c r="A501" s="259"/>
      <c r="B501" s="259"/>
      <c r="C501" s="259"/>
      <c r="D501" s="412"/>
      <c r="E501" s="259"/>
      <c r="F501" s="259"/>
      <c r="G501" s="259"/>
      <c r="H501" s="413"/>
      <c r="I501" s="259"/>
      <c r="J501" s="259"/>
    </row>
    <row r="502" spans="1:10" x14ac:dyDescent="0.25">
      <c r="A502" s="259"/>
      <c r="B502" s="259"/>
      <c r="C502" s="259"/>
      <c r="D502" s="412"/>
      <c r="E502" s="259"/>
      <c r="F502" s="259"/>
      <c r="G502" s="259"/>
      <c r="H502" s="413"/>
      <c r="I502" s="259"/>
      <c r="J502" s="259"/>
    </row>
    <row r="503" spans="1:10" x14ac:dyDescent="0.25">
      <c r="A503" s="259"/>
      <c r="B503" s="259"/>
      <c r="C503" s="259"/>
      <c r="D503" s="412"/>
      <c r="E503" s="259"/>
      <c r="F503" s="259"/>
      <c r="G503" s="259"/>
      <c r="H503" s="413"/>
      <c r="I503" s="259"/>
      <c r="J503" s="259"/>
    </row>
    <row r="504" spans="1:10" x14ac:dyDescent="0.25">
      <c r="A504" s="259"/>
      <c r="B504" s="259"/>
      <c r="C504" s="259"/>
      <c r="D504" s="412"/>
      <c r="E504" s="259"/>
      <c r="F504" s="259"/>
      <c r="G504" s="259"/>
      <c r="H504" s="413"/>
      <c r="I504" s="259"/>
      <c r="J504" s="259"/>
    </row>
    <row r="505" spans="1:10" x14ac:dyDescent="0.25">
      <c r="A505" s="259"/>
      <c r="B505" s="259"/>
      <c r="C505" s="259"/>
      <c r="D505" s="412"/>
      <c r="E505" s="259"/>
      <c r="F505" s="259"/>
      <c r="G505" s="259"/>
      <c r="H505" s="413"/>
      <c r="I505" s="259"/>
      <c r="J505" s="259"/>
    </row>
    <row r="506" spans="1:10" x14ac:dyDescent="0.25">
      <c r="A506" s="259"/>
      <c r="B506" s="259"/>
      <c r="C506" s="259"/>
      <c r="D506" s="412"/>
      <c r="E506" s="259"/>
      <c r="F506" s="259"/>
      <c r="G506" s="259"/>
      <c r="H506" s="413"/>
      <c r="I506" s="259"/>
      <c r="J506" s="259"/>
    </row>
    <row r="507" spans="1:10" x14ac:dyDescent="0.25">
      <c r="A507" s="259"/>
      <c r="B507" s="259"/>
      <c r="C507" s="259"/>
      <c r="D507" s="412"/>
      <c r="E507" s="259"/>
      <c r="F507" s="259"/>
      <c r="G507" s="259"/>
      <c r="H507" s="413"/>
      <c r="I507" s="259"/>
      <c r="J507" s="259"/>
    </row>
    <row r="508" spans="1:10" x14ac:dyDescent="0.25">
      <c r="A508" s="259"/>
      <c r="B508" s="259"/>
      <c r="C508" s="259"/>
      <c r="D508" s="412"/>
      <c r="E508" s="259"/>
      <c r="F508" s="259"/>
      <c r="G508" s="259"/>
      <c r="H508" s="413"/>
      <c r="I508" s="259"/>
      <c r="J508" s="259"/>
    </row>
    <row r="509" spans="1:10" x14ac:dyDescent="0.25">
      <c r="A509" s="259"/>
      <c r="B509" s="259"/>
      <c r="C509" s="259"/>
      <c r="D509" s="412"/>
      <c r="E509" s="259"/>
      <c r="F509" s="259"/>
      <c r="G509" s="259"/>
      <c r="H509" s="413"/>
      <c r="I509" s="259"/>
      <c r="J509" s="259"/>
    </row>
    <row r="510" spans="1:10" x14ac:dyDescent="0.25">
      <c r="A510" s="259"/>
      <c r="B510" s="259"/>
      <c r="C510" s="259"/>
      <c r="D510" s="412"/>
      <c r="E510" s="259"/>
      <c r="F510" s="259"/>
      <c r="G510" s="259"/>
      <c r="H510" s="413"/>
      <c r="I510" s="259"/>
      <c r="J510" s="259"/>
    </row>
    <row r="511" spans="1:10" x14ac:dyDescent="0.25">
      <c r="A511" s="259"/>
      <c r="B511" s="259"/>
      <c r="C511" s="259"/>
      <c r="D511" s="412"/>
      <c r="E511" s="259"/>
      <c r="F511" s="259"/>
      <c r="G511" s="259"/>
      <c r="H511" s="413"/>
      <c r="I511" s="259"/>
      <c r="J511" s="259"/>
    </row>
    <row r="512" spans="1:10" x14ac:dyDescent="0.25">
      <c r="A512" s="259"/>
      <c r="B512" s="259"/>
      <c r="C512" s="259"/>
      <c r="D512" s="412"/>
      <c r="E512" s="259"/>
      <c r="F512" s="259"/>
      <c r="G512" s="259"/>
      <c r="H512" s="413"/>
      <c r="I512" s="259"/>
      <c r="J512" s="259"/>
    </row>
  </sheetData>
  <mergeCells count="133">
    <mergeCell ref="A7:B7"/>
    <mergeCell ref="B8:J8"/>
    <mergeCell ref="H13:H14"/>
    <mergeCell ref="B75:J75"/>
    <mergeCell ref="F79:G79"/>
    <mergeCell ref="H82:H83"/>
    <mergeCell ref="A1:J1"/>
    <mergeCell ref="A2:J2"/>
    <mergeCell ref="A5:B6"/>
    <mergeCell ref="C5:C6"/>
    <mergeCell ref="D5:D6"/>
    <mergeCell ref="F5:G5"/>
    <mergeCell ref="H5:H6"/>
    <mergeCell ref="I5:I6"/>
    <mergeCell ref="J5:J6"/>
    <mergeCell ref="F84:G84"/>
    <mergeCell ref="H84:H87"/>
    <mergeCell ref="I84:I87"/>
    <mergeCell ref="J84:J87"/>
    <mergeCell ref="F88:G88"/>
    <mergeCell ref="F91:G91"/>
    <mergeCell ref="H91:H94"/>
    <mergeCell ref="I91:I94"/>
    <mergeCell ref="J91:J94"/>
    <mergeCell ref="H88:H90"/>
    <mergeCell ref="C129:C130"/>
    <mergeCell ref="D129:D130"/>
    <mergeCell ref="E129:E130"/>
    <mergeCell ref="F129:F130"/>
    <mergeCell ref="G129:G130"/>
    <mergeCell ref="F95:G95"/>
    <mergeCell ref="H95:H99"/>
    <mergeCell ref="I95:I99"/>
    <mergeCell ref="J95:J99"/>
    <mergeCell ref="F107:G107"/>
    <mergeCell ref="F114:G114"/>
    <mergeCell ref="F141:J141"/>
    <mergeCell ref="H142:H145"/>
    <mergeCell ref="I142:I145"/>
    <mergeCell ref="J142:J145"/>
    <mergeCell ref="H150:H151"/>
    <mergeCell ref="I154:I155"/>
    <mergeCell ref="J154:J155"/>
    <mergeCell ref="F115:G115"/>
    <mergeCell ref="F119:G119"/>
    <mergeCell ref="F121:G121"/>
    <mergeCell ref="H116:H118"/>
    <mergeCell ref="H139:H140"/>
    <mergeCell ref="H154:H157"/>
    <mergeCell ref="H219:H221"/>
    <mergeCell ref="C222:C224"/>
    <mergeCell ref="D222:D224"/>
    <mergeCell ref="E225:E226"/>
    <mergeCell ref="F225:F226"/>
    <mergeCell ref="G225:G226"/>
    <mergeCell ref="H166:H169"/>
    <mergeCell ref="H170:H177"/>
    <mergeCell ref="B183:J183"/>
    <mergeCell ref="H215:H217"/>
    <mergeCell ref="J225:J226"/>
    <mergeCell ref="E227:E228"/>
    <mergeCell ref="F227:F228"/>
    <mergeCell ref="G227:G228"/>
    <mergeCell ref="J227:J228"/>
    <mergeCell ref="I237:I241"/>
    <mergeCell ref="J239:J241"/>
    <mergeCell ref="E240:E241"/>
    <mergeCell ref="F240:F241"/>
    <mergeCell ref="G240:G241"/>
    <mergeCell ref="F307:G307"/>
    <mergeCell ref="H307:H310"/>
    <mergeCell ref="I307:I310"/>
    <mergeCell ref="I324:I325"/>
    <mergeCell ref="L324:L325"/>
    <mergeCell ref="F326:G326"/>
    <mergeCell ref="H275:H278"/>
    <mergeCell ref="H279:H288"/>
    <mergeCell ref="D285:D286"/>
    <mergeCell ref="H302:H303"/>
    <mergeCell ref="I302:I303"/>
    <mergeCell ref="J302:J303"/>
    <mergeCell ref="I341:I342"/>
    <mergeCell ref="L341:L342"/>
    <mergeCell ref="C352:C354"/>
    <mergeCell ref="I356:I357"/>
    <mergeCell ref="I358:I359"/>
    <mergeCell ref="H360:H366"/>
    <mergeCell ref="I360:I361"/>
    <mergeCell ref="I362:I366"/>
    <mergeCell ref="I333:I334"/>
    <mergeCell ref="L333:L334"/>
    <mergeCell ref="L335:L336"/>
    <mergeCell ref="I337:I338"/>
    <mergeCell ref="L337:L338"/>
    <mergeCell ref="I339:I340"/>
    <mergeCell ref="L339:L340"/>
    <mergeCell ref="D373:D374"/>
    <mergeCell ref="H381:H382"/>
    <mergeCell ref="I381:I387"/>
    <mergeCell ref="D389:D393"/>
    <mergeCell ref="I389:I398"/>
    <mergeCell ref="D397:D398"/>
    <mergeCell ref="H367:H368"/>
    <mergeCell ref="I367:I368"/>
    <mergeCell ref="C369:C371"/>
    <mergeCell ref="D369:D371"/>
    <mergeCell ref="E370:E371"/>
    <mergeCell ref="F370:F371"/>
    <mergeCell ref="G370:G371"/>
    <mergeCell ref="H158:H164"/>
    <mergeCell ref="A479:C479"/>
    <mergeCell ref="A480:B482"/>
    <mergeCell ref="F482:I482"/>
    <mergeCell ref="F486:I486"/>
    <mergeCell ref="H54:H55"/>
    <mergeCell ref="H56:H57"/>
    <mergeCell ref="H60:H61"/>
    <mergeCell ref="H66:H70"/>
    <mergeCell ref="H109:H110"/>
    <mergeCell ref="H104:H106"/>
    <mergeCell ref="I430:I439"/>
    <mergeCell ref="B441:J441"/>
    <mergeCell ref="I445:I454"/>
    <mergeCell ref="C462:C463"/>
    <mergeCell ref="D462:D463"/>
    <mergeCell ref="H465:H466"/>
    <mergeCell ref="C404:C405"/>
    <mergeCell ref="D404:D405"/>
    <mergeCell ref="I404:I407"/>
    <mergeCell ref="H406:H407"/>
    <mergeCell ref="F410:G410"/>
    <mergeCell ref="F414:G414"/>
    <mergeCell ref="C373:C375"/>
  </mergeCells>
  <hyperlinks>
    <hyperlink ref="H226" r:id="rId1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27" r:id="rId2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28" r:id="rId3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29" r:id="rId4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30" r:id="rId5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</hyperlinks>
  <pageMargins left="0.7" right="0.7" top="0.75" bottom="0.75" header="0.3" footer="0.3"/>
  <pageSetup paperSize="9" orientation="portrait" horizontalDpi="4294967293" verticalDpi="0"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17"/>
  <sheetViews>
    <sheetView topLeftCell="A23" zoomScale="80" zoomScaleNormal="80" workbookViewId="0">
      <selection activeCell="B8" sqref="B8:J8"/>
    </sheetView>
  </sheetViews>
  <sheetFormatPr defaultRowHeight="15" x14ac:dyDescent="0.25"/>
  <cols>
    <col min="2" max="2" width="24.85546875" customWidth="1"/>
    <col min="3" max="3" width="19.85546875" customWidth="1"/>
    <col min="4" max="4" width="19.28515625" customWidth="1"/>
    <col min="5" max="5" width="18.140625" customWidth="1"/>
    <col min="6" max="6" width="15.5703125" customWidth="1"/>
    <col min="7" max="7" width="16" customWidth="1"/>
    <col min="8" max="8" width="19.5703125" customWidth="1"/>
    <col min="9" max="9" width="16.85546875" customWidth="1"/>
    <col min="10" max="10" width="18.42578125" customWidth="1"/>
    <col min="12" max="12" width="30.42578125" customWidth="1"/>
    <col min="258" max="258" width="24.85546875" customWidth="1"/>
    <col min="259" max="259" width="19.85546875" customWidth="1"/>
    <col min="260" max="260" width="19.28515625" customWidth="1"/>
    <col min="261" max="261" width="18.140625" customWidth="1"/>
    <col min="262" max="262" width="15.5703125" customWidth="1"/>
    <col min="263" max="263" width="16" customWidth="1"/>
    <col min="264" max="264" width="19.5703125" customWidth="1"/>
    <col min="265" max="265" width="16.85546875" customWidth="1"/>
    <col min="266" max="266" width="18.42578125" customWidth="1"/>
    <col min="268" max="268" width="30.42578125" customWidth="1"/>
    <col min="514" max="514" width="24.85546875" customWidth="1"/>
    <col min="515" max="515" width="19.85546875" customWidth="1"/>
    <col min="516" max="516" width="19.28515625" customWidth="1"/>
    <col min="517" max="517" width="18.140625" customWidth="1"/>
    <col min="518" max="518" width="15.5703125" customWidth="1"/>
    <col min="519" max="519" width="16" customWidth="1"/>
    <col min="520" max="520" width="19.5703125" customWidth="1"/>
    <col min="521" max="521" width="16.85546875" customWidth="1"/>
    <col min="522" max="522" width="18.42578125" customWidth="1"/>
    <col min="524" max="524" width="30.42578125" customWidth="1"/>
    <col min="770" max="770" width="24.85546875" customWidth="1"/>
    <col min="771" max="771" width="19.85546875" customWidth="1"/>
    <col min="772" max="772" width="19.28515625" customWidth="1"/>
    <col min="773" max="773" width="18.140625" customWidth="1"/>
    <col min="774" max="774" width="15.5703125" customWidth="1"/>
    <col min="775" max="775" width="16" customWidth="1"/>
    <col min="776" max="776" width="19.5703125" customWidth="1"/>
    <col min="777" max="777" width="16.85546875" customWidth="1"/>
    <col min="778" max="778" width="18.42578125" customWidth="1"/>
    <col min="780" max="780" width="30.42578125" customWidth="1"/>
    <col min="1026" max="1026" width="24.85546875" customWidth="1"/>
    <col min="1027" max="1027" width="19.85546875" customWidth="1"/>
    <col min="1028" max="1028" width="19.28515625" customWidth="1"/>
    <col min="1029" max="1029" width="18.140625" customWidth="1"/>
    <col min="1030" max="1030" width="15.5703125" customWidth="1"/>
    <col min="1031" max="1031" width="16" customWidth="1"/>
    <col min="1032" max="1032" width="19.5703125" customWidth="1"/>
    <col min="1033" max="1033" width="16.85546875" customWidth="1"/>
    <col min="1034" max="1034" width="18.42578125" customWidth="1"/>
    <col min="1036" max="1036" width="30.42578125" customWidth="1"/>
    <col min="1282" max="1282" width="24.85546875" customWidth="1"/>
    <col min="1283" max="1283" width="19.85546875" customWidth="1"/>
    <col min="1284" max="1284" width="19.28515625" customWidth="1"/>
    <col min="1285" max="1285" width="18.140625" customWidth="1"/>
    <col min="1286" max="1286" width="15.5703125" customWidth="1"/>
    <col min="1287" max="1287" width="16" customWidth="1"/>
    <col min="1288" max="1288" width="19.5703125" customWidth="1"/>
    <col min="1289" max="1289" width="16.85546875" customWidth="1"/>
    <col min="1290" max="1290" width="18.42578125" customWidth="1"/>
    <col min="1292" max="1292" width="30.42578125" customWidth="1"/>
    <col min="1538" max="1538" width="24.85546875" customWidth="1"/>
    <col min="1539" max="1539" width="19.85546875" customWidth="1"/>
    <col min="1540" max="1540" width="19.28515625" customWidth="1"/>
    <col min="1541" max="1541" width="18.140625" customWidth="1"/>
    <col min="1542" max="1542" width="15.5703125" customWidth="1"/>
    <col min="1543" max="1543" width="16" customWidth="1"/>
    <col min="1544" max="1544" width="19.5703125" customWidth="1"/>
    <col min="1545" max="1545" width="16.85546875" customWidth="1"/>
    <col min="1546" max="1546" width="18.42578125" customWidth="1"/>
    <col min="1548" max="1548" width="30.42578125" customWidth="1"/>
    <col min="1794" max="1794" width="24.85546875" customWidth="1"/>
    <col min="1795" max="1795" width="19.85546875" customWidth="1"/>
    <col min="1796" max="1796" width="19.28515625" customWidth="1"/>
    <col min="1797" max="1797" width="18.140625" customWidth="1"/>
    <col min="1798" max="1798" width="15.5703125" customWidth="1"/>
    <col min="1799" max="1799" width="16" customWidth="1"/>
    <col min="1800" max="1800" width="19.5703125" customWidth="1"/>
    <col min="1801" max="1801" width="16.85546875" customWidth="1"/>
    <col min="1802" max="1802" width="18.42578125" customWidth="1"/>
    <col min="1804" max="1804" width="30.42578125" customWidth="1"/>
    <col min="2050" max="2050" width="24.85546875" customWidth="1"/>
    <col min="2051" max="2051" width="19.85546875" customWidth="1"/>
    <col min="2052" max="2052" width="19.28515625" customWidth="1"/>
    <col min="2053" max="2053" width="18.140625" customWidth="1"/>
    <col min="2054" max="2054" width="15.5703125" customWidth="1"/>
    <col min="2055" max="2055" width="16" customWidth="1"/>
    <col min="2056" max="2056" width="19.5703125" customWidth="1"/>
    <col min="2057" max="2057" width="16.85546875" customWidth="1"/>
    <col min="2058" max="2058" width="18.42578125" customWidth="1"/>
    <col min="2060" max="2060" width="30.42578125" customWidth="1"/>
    <col min="2306" max="2306" width="24.85546875" customWidth="1"/>
    <col min="2307" max="2307" width="19.85546875" customWidth="1"/>
    <col min="2308" max="2308" width="19.28515625" customWidth="1"/>
    <col min="2309" max="2309" width="18.140625" customWidth="1"/>
    <col min="2310" max="2310" width="15.5703125" customWidth="1"/>
    <col min="2311" max="2311" width="16" customWidth="1"/>
    <col min="2312" max="2312" width="19.5703125" customWidth="1"/>
    <col min="2313" max="2313" width="16.85546875" customWidth="1"/>
    <col min="2314" max="2314" width="18.42578125" customWidth="1"/>
    <col min="2316" max="2316" width="30.42578125" customWidth="1"/>
    <col min="2562" max="2562" width="24.85546875" customWidth="1"/>
    <col min="2563" max="2563" width="19.85546875" customWidth="1"/>
    <col min="2564" max="2564" width="19.28515625" customWidth="1"/>
    <col min="2565" max="2565" width="18.140625" customWidth="1"/>
    <col min="2566" max="2566" width="15.5703125" customWidth="1"/>
    <col min="2567" max="2567" width="16" customWidth="1"/>
    <col min="2568" max="2568" width="19.5703125" customWidth="1"/>
    <col min="2569" max="2569" width="16.85546875" customWidth="1"/>
    <col min="2570" max="2570" width="18.42578125" customWidth="1"/>
    <col min="2572" max="2572" width="30.42578125" customWidth="1"/>
    <col min="2818" max="2818" width="24.85546875" customWidth="1"/>
    <col min="2819" max="2819" width="19.85546875" customWidth="1"/>
    <col min="2820" max="2820" width="19.28515625" customWidth="1"/>
    <col min="2821" max="2821" width="18.140625" customWidth="1"/>
    <col min="2822" max="2822" width="15.5703125" customWidth="1"/>
    <col min="2823" max="2823" width="16" customWidth="1"/>
    <col min="2824" max="2824" width="19.5703125" customWidth="1"/>
    <col min="2825" max="2825" width="16.85546875" customWidth="1"/>
    <col min="2826" max="2826" width="18.42578125" customWidth="1"/>
    <col min="2828" max="2828" width="30.42578125" customWidth="1"/>
    <col min="3074" max="3074" width="24.85546875" customWidth="1"/>
    <col min="3075" max="3075" width="19.85546875" customWidth="1"/>
    <col min="3076" max="3076" width="19.28515625" customWidth="1"/>
    <col min="3077" max="3077" width="18.140625" customWidth="1"/>
    <col min="3078" max="3078" width="15.5703125" customWidth="1"/>
    <col min="3079" max="3079" width="16" customWidth="1"/>
    <col min="3080" max="3080" width="19.5703125" customWidth="1"/>
    <col min="3081" max="3081" width="16.85546875" customWidth="1"/>
    <col min="3082" max="3082" width="18.42578125" customWidth="1"/>
    <col min="3084" max="3084" width="30.42578125" customWidth="1"/>
    <col min="3330" max="3330" width="24.85546875" customWidth="1"/>
    <col min="3331" max="3331" width="19.85546875" customWidth="1"/>
    <col min="3332" max="3332" width="19.28515625" customWidth="1"/>
    <col min="3333" max="3333" width="18.140625" customWidth="1"/>
    <col min="3334" max="3334" width="15.5703125" customWidth="1"/>
    <col min="3335" max="3335" width="16" customWidth="1"/>
    <col min="3336" max="3336" width="19.5703125" customWidth="1"/>
    <col min="3337" max="3337" width="16.85546875" customWidth="1"/>
    <col min="3338" max="3338" width="18.42578125" customWidth="1"/>
    <col min="3340" max="3340" width="30.42578125" customWidth="1"/>
    <col min="3586" max="3586" width="24.85546875" customWidth="1"/>
    <col min="3587" max="3587" width="19.85546875" customWidth="1"/>
    <col min="3588" max="3588" width="19.28515625" customWidth="1"/>
    <col min="3589" max="3589" width="18.140625" customWidth="1"/>
    <col min="3590" max="3590" width="15.5703125" customWidth="1"/>
    <col min="3591" max="3591" width="16" customWidth="1"/>
    <col min="3592" max="3592" width="19.5703125" customWidth="1"/>
    <col min="3593" max="3593" width="16.85546875" customWidth="1"/>
    <col min="3594" max="3594" width="18.42578125" customWidth="1"/>
    <col min="3596" max="3596" width="30.42578125" customWidth="1"/>
    <col min="3842" max="3842" width="24.85546875" customWidth="1"/>
    <col min="3843" max="3843" width="19.85546875" customWidth="1"/>
    <col min="3844" max="3844" width="19.28515625" customWidth="1"/>
    <col min="3845" max="3845" width="18.140625" customWidth="1"/>
    <col min="3846" max="3846" width="15.5703125" customWidth="1"/>
    <col min="3847" max="3847" width="16" customWidth="1"/>
    <col min="3848" max="3848" width="19.5703125" customWidth="1"/>
    <col min="3849" max="3849" width="16.85546875" customWidth="1"/>
    <col min="3850" max="3850" width="18.42578125" customWidth="1"/>
    <col min="3852" max="3852" width="30.42578125" customWidth="1"/>
    <col min="4098" max="4098" width="24.85546875" customWidth="1"/>
    <col min="4099" max="4099" width="19.85546875" customWidth="1"/>
    <col min="4100" max="4100" width="19.28515625" customWidth="1"/>
    <col min="4101" max="4101" width="18.140625" customWidth="1"/>
    <col min="4102" max="4102" width="15.5703125" customWidth="1"/>
    <col min="4103" max="4103" width="16" customWidth="1"/>
    <col min="4104" max="4104" width="19.5703125" customWidth="1"/>
    <col min="4105" max="4105" width="16.85546875" customWidth="1"/>
    <col min="4106" max="4106" width="18.42578125" customWidth="1"/>
    <col min="4108" max="4108" width="30.42578125" customWidth="1"/>
    <col min="4354" max="4354" width="24.85546875" customWidth="1"/>
    <col min="4355" max="4355" width="19.85546875" customWidth="1"/>
    <col min="4356" max="4356" width="19.28515625" customWidth="1"/>
    <col min="4357" max="4357" width="18.140625" customWidth="1"/>
    <col min="4358" max="4358" width="15.5703125" customWidth="1"/>
    <col min="4359" max="4359" width="16" customWidth="1"/>
    <col min="4360" max="4360" width="19.5703125" customWidth="1"/>
    <col min="4361" max="4361" width="16.85546875" customWidth="1"/>
    <col min="4362" max="4362" width="18.42578125" customWidth="1"/>
    <col min="4364" max="4364" width="30.42578125" customWidth="1"/>
    <col min="4610" max="4610" width="24.85546875" customWidth="1"/>
    <col min="4611" max="4611" width="19.85546875" customWidth="1"/>
    <col min="4612" max="4612" width="19.28515625" customWidth="1"/>
    <col min="4613" max="4613" width="18.140625" customWidth="1"/>
    <col min="4614" max="4614" width="15.5703125" customWidth="1"/>
    <col min="4615" max="4615" width="16" customWidth="1"/>
    <col min="4616" max="4616" width="19.5703125" customWidth="1"/>
    <col min="4617" max="4617" width="16.85546875" customWidth="1"/>
    <col min="4618" max="4618" width="18.42578125" customWidth="1"/>
    <col min="4620" max="4620" width="30.42578125" customWidth="1"/>
    <col min="4866" max="4866" width="24.85546875" customWidth="1"/>
    <col min="4867" max="4867" width="19.85546875" customWidth="1"/>
    <col min="4868" max="4868" width="19.28515625" customWidth="1"/>
    <col min="4869" max="4869" width="18.140625" customWidth="1"/>
    <col min="4870" max="4870" width="15.5703125" customWidth="1"/>
    <col min="4871" max="4871" width="16" customWidth="1"/>
    <col min="4872" max="4872" width="19.5703125" customWidth="1"/>
    <col min="4873" max="4873" width="16.85546875" customWidth="1"/>
    <col min="4874" max="4874" width="18.42578125" customWidth="1"/>
    <col min="4876" max="4876" width="30.42578125" customWidth="1"/>
    <col min="5122" max="5122" width="24.85546875" customWidth="1"/>
    <col min="5123" max="5123" width="19.85546875" customWidth="1"/>
    <col min="5124" max="5124" width="19.28515625" customWidth="1"/>
    <col min="5125" max="5125" width="18.140625" customWidth="1"/>
    <col min="5126" max="5126" width="15.5703125" customWidth="1"/>
    <col min="5127" max="5127" width="16" customWidth="1"/>
    <col min="5128" max="5128" width="19.5703125" customWidth="1"/>
    <col min="5129" max="5129" width="16.85546875" customWidth="1"/>
    <col min="5130" max="5130" width="18.42578125" customWidth="1"/>
    <col min="5132" max="5132" width="30.42578125" customWidth="1"/>
    <col min="5378" max="5378" width="24.85546875" customWidth="1"/>
    <col min="5379" max="5379" width="19.85546875" customWidth="1"/>
    <col min="5380" max="5380" width="19.28515625" customWidth="1"/>
    <col min="5381" max="5381" width="18.140625" customWidth="1"/>
    <col min="5382" max="5382" width="15.5703125" customWidth="1"/>
    <col min="5383" max="5383" width="16" customWidth="1"/>
    <col min="5384" max="5384" width="19.5703125" customWidth="1"/>
    <col min="5385" max="5385" width="16.85546875" customWidth="1"/>
    <col min="5386" max="5386" width="18.42578125" customWidth="1"/>
    <col min="5388" max="5388" width="30.42578125" customWidth="1"/>
    <col min="5634" max="5634" width="24.85546875" customWidth="1"/>
    <col min="5635" max="5635" width="19.85546875" customWidth="1"/>
    <col min="5636" max="5636" width="19.28515625" customWidth="1"/>
    <col min="5637" max="5637" width="18.140625" customWidth="1"/>
    <col min="5638" max="5638" width="15.5703125" customWidth="1"/>
    <col min="5639" max="5639" width="16" customWidth="1"/>
    <col min="5640" max="5640" width="19.5703125" customWidth="1"/>
    <col min="5641" max="5641" width="16.85546875" customWidth="1"/>
    <col min="5642" max="5642" width="18.42578125" customWidth="1"/>
    <col min="5644" max="5644" width="30.42578125" customWidth="1"/>
    <col min="5890" max="5890" width="24.85546875" customWidth="1"/>
    <col min="5891" max="5891" width="19.85546875" customWidth="1"/>
    <col min="5892" max="5892" width="19.28515625" customWidth="1"/>
    <col min="5893" max="5893" width="18.140625" customWidth="1"/>
    <col min="5894" max="5894" width="15.5703125" customWidth="1"/>
    <col min="5895" max="5895" width="16" customWidth="1"/>
    <col min="5896" max="5896" width="19.5703125" customWidth="1"/>
    <col min="5897" max="5897" width="16.85546875" customWidth="1"/>
    <col min="5898" max="5898" width="18.42578125" customWidth="1"/>
    <col min="5900" max="5900" width="30.42578125" customWidth="1"/>
    <col min="6146" max="6146" width="24.85546875" customWidth="1"/>
    <col min="6147" max="6147" width="19.85546875" customWidth="1"/>
    <col min="6148" max="6148" width="19.28515625" customWidth="1"/>
    <col min="6149" max="6149" width="18.140625" customWidth="1"/>
    <col min="6150" max="6150" width="15.5703125" customWidth="1"/>
    <col min="6151" max="6151" width="16" customWidth="1"/>
    <col min="6152" max="6152" width="19.5703125" customWidth="1"/>
    <col min="6153" max="6153" width="16.85546875" customWidth="1"/>
    <col min="6154" max="6154" width="18.42578125" customWidth="1"/>
    <col min="6156" max="6156" width="30.42578125" customWidth="1"/>
    <col min="6402" max="6402" width="24.85546875" customWidth="1"/>
    <col min="6403" max="6403" width="19.85546875" customWidth="1"/>
    <col min="6404" max="6404" width="19.28515625" customWidth="1"/>
    <col min="6405" max="6405" width="18.140625" customWidth="1"/>
    <col min="6406" max="6406" width="15.5703125" customWidth="1"/>
    <col min="6407" max="6407" width="16" customWidth="1"/>
    <col min="6408" max="6408" width="19.5703125" customWidth="1"/>
    <col min="6409" max="6409" width="16.85546875" customWidth="1"/>
    <col min="6410" max="6410" width="18.42578125" customWidth="1"/>
    <col min="6412" max="6412" width="30.42578125" customWidth="1"/>
    <col min="6658" max="6658" width="24.85546875" customWidth="1"/>
    <col min="6659" max="6659" width="19.85546875" customWidth="1"/>
    <col min="6660" max="6660" width="19.28515625" customWidth="1"/>
    <col min="6661" max="6661" width="18.140625" customWidth="1"/>
    <col min="6662" max="6662" width="15.5703125" customWidth="1"/>
    <col min="6663" max="6663" width="16" customWidth="1"/>
    <col min="6664" max="6664" width="19.5703125" customWidth="1"/>
    <col min="6665" max="6665" width="16.85546875" customWidth="1"/>
    <col min="6666" max="6666" width="18.42578125" customWidth="1"/>
    <col min="6668" max="6668" width="30.42578125" customWidth="1"/>
    <col min="6914" max="6914" width="24.85546875" customWidth="1"/>
    <col min="6915" max="6915" width="19.85546875" customWidth="1"/>
    <col min="6916" max="6916" width="19.28515625" customWidth="1"/>
    <col min="6917" max="6917" width="18.140625" customWidth="1"/>
    <col min="6918" max="6918" width="15.5703125" customWidth="1"/>
    <col min="6919" max="6919" width="16" customWidth="1"/>
    <col min="6920" max="6920" width="19.5703125" customWidth="1"/>
    <col min="6921" max="6921" width="16.85546875" customWidth="1"/>
    <col min="6922" max="6922" width="18.42578125" customWidth="1"/>
    <col min="6924" max="6924" width="30.42578125" customWidth="1"/>
    <col min="7170" max="7170" width="24.85546875" customWidth="1"/>
    <col min="7171" max="7171" width="19.85546875" customWidth="1"/>
    <col min="7172" max="7172" width="19.28515625" customWidth="1"/>
    <col min="7173" max="7173" width="18.140625" customWidth="1"/>
    <col min="7174" max="7174" width="15.5703125" customWidth="1"/>
    <col min="7175" max="7175" width="16" customWidth="1"/>
    <col min="7176" max="7176" width="19.5703125" customWidth="1"/>
    <col min="7177" max="7177" width="16.85546875" customWidth="1"/>
    <col min="7178" max="7178" width="18.42578125" customWidth="1"/>
    <col min="7180" max="7180" width="30.42578125" customWidth="1"/>
    <col min="7426" max="7426" width="24.85546875" customWidth="1"/>
    <col min="7427" max="7427" width="19.85546875" customWidth="1"/>
    <col min="7428" max="7428" width="19.28515625" customWidth="1"/>
    <col min="7429" max="7429" width="18.140625" customWidth="1"/>
    <col min="7430" max="7430" width="15.5703125" customWidth="1"/>
    <col min="7431" max="7431" width="16" customWidth="1"/>
    <col min="7432" max="7432" width="19.5703125" customWidth="1"/>
    <col min="7433" max="7433" width="16.85546875" customWidth="1"/>
    <col min="7434" max="7434" width="18.42578125" customWidth="1"/>
    <col min="7436" max="7436" width="30.42578125" customWidth="1"/>
    <col min="7682" max="7682" width="24.85546875" customWidth="1"/>
    <col min="7683" max="7683" width="19.85546875" customWidth="1"/>
    <col min="7684" max="7684" width="19.28515625" customWidth="1"/>
    <col min="7685" max="7685" width="18.140625" customWidth="1"/>
    <col min="7686" max="7686" width="15.5703125" customWidth="1"/>
    <col min="7687" max="7687" width="16" customWidth="1"/>
    <col min="7688" max="7688" width="19.5703125" customWidth="1"/>
    <col min="7689" max="7689" width="16.85546875" customWidth="1"/>
    <col min="7690" max="7690" width="18.42578125" customWidth="1"/>
    <col min="7692" max="7692" width="30.42578125" customWidth="1"/>
    <col min="7938" max="7938" width="24.85546875" customWidth="1"/>
    <col min="7939" max="7939" width="19.85546875" customWidth="1"/>
    <col min="7940" max="7940" width="19.28515625" customWidth="1"/>
    <col min="7941" max="7941" width="18.140625" customWidth="1"/>
    <col min="7942" max="7942" width="15.5703125" customWidth="1"/>
    <col min="7943" max="7943" width="16" customWidth="1"/>
    <col min="7944" max="7944" width="19.5703125" customWidth="1"/>
    <col min="7945" max="7945" width="16.85546875" customWidth="1"/>
    <col min="7946" max="7946" width="18.42578125" customWidth="1"/>
    <col min="7948" max="7948" width="30.42578125" customWidth="1"/>
    <col min="8194" max="8194" width="24.85546875" customWidth="1"/>
    <col min="8195" max="8195" width="19.85546875" customWidth="1"/>
    <col min="8196" max="8196" width="19.28515625" customWidth="1"/>
    <col min="8197" max="8197" width="18.140625" customWidth="1"/>
    <col min="8198" max="8198" width="15.5703125" customWidth="1"/>
    <col min="8199" max="8199" width="16" customWidth="1"/>
    <col min="8200" max="8200" width="19.5703125" customWidth="1"/>
    <col min="8201" max="8201" width="16.85546875" customWidth="1"/>
    <col min="8202" max="8202" width="18.42578125" customWidth="1"/>
    <col min="8204" max="8204" width="30.42578125" customWidth="1"/>
    <col min="8450" max="8450" width="24.85546875" customWidth="1"/>
    <col min="8451" max="8451" width="19.85546875" customWidth="1"/>
    <col min="8452" max="8452" width="19.28515625" customWidth="1"/>
    <col min="8453" max="8453" width="18.140625" customWidth="1"/>
    <col min="8454" max="8454" width="15.5703125" customWidth="1"/>
    <col min="8455" max="8455" width="16" customWidth="1"/>
    <col min="8456" max="8456" width="19.5703125" customWidth="1"/>
    <col min="8457" max="8457" width="16.85546875" customWidth="1"/>
    <col min="8458" max="8458" width="18.42578125" customWidth="1"/>
    <col min="8460" max="8460" width="30.42578125" customWidth="1"/>
    <col min="8706" max="8706" width="24.85546875" customWidth="1"/>
    <col min="8707" max="8707" width="19.85546875" customWidth="1"/>
    <col min="8708" max="8708" width="19.28515625" customWidth="1"/>
    <col min="8709" max="8709" width="18.140625" customWidth="1"/>
    <col min="8710" max="8710" width="15.5703125" customWidth="1"/>
    <col min="8711" max="8711" width="16" customWidth="1"/>
    <col min="8712" max="8712" width="19.5703125" customWidth="1"/>
    <col min="8713" max="8713" width="16.85546875" customWidth="1"/>
    <col min="8714" max="8714" width="18.42578125" customWidth="1"/>
    <col min="8716" max="8716" width="30.42578125" customWidth="1"/>
    <col min="8962" max="8962" width="24.85546875" customWidth="1"/>
    <col min="8963" max="8963" width="19.85546875" customWidth="1"/>
    <col min="8964" max="8964" width="19.28515625" customWidth="1"/>
    <col min="8965" max="8965" width="18.140625" customWidth="1"/>
    <col min="8966" max="8966" width="15.5703125" customWidth="1"/>
    <col min="8967" max="8967" width="16" customWidth="1"/>
    <col min="8968" max="8968" width="19.5703125" customWidth="1"/>
    <col min="8969" max="8969" width="16.85546875" customWidth="1"/>
    <col min="8970" max="8970" width="18.42578125" customWidth="1"/>
    <col min="8972" max="8972" width="30.42578125" customWidth="1"/>
    <col min="9218" max="9218" width="24.85546875" customWidth="1"/>
    <col min="9219" max="9219" width="19.85546875" customWidth="1"/>
    <col min="9220" max="9220" width="19.28515625" customWidth="1"/>
    <col min="9221" max="9221" width="18.140625" customWidth="1"/>
    <col min="9222" max="9222" width="15.5703125" customWidth="1"/>
    <col min="9223" max="9223" width="16" customWidth="1"/>
    <col min="9224" max="9224" width="19.5703125" customWidth="1"/>
    <col min="9225" max="9225" width="16.85546875" customWidth="1"/>
    <col min="9226" max="9226" width="18.42578125" customWidth="1"/>
    <col min="9228" max="9228" width="30.42578125" customWidth="1"/>
    <col min="9474" max="9474" width="24.85546875" customWidth="1"/>
    <col min="9475" max="9475" width="19.85546875" customWidth="1"/>
    <col min="9476" max="9476" width="19.28515625" customWidth="1"/>
    <col min="9477" max="9477" width="18.140625" customWidth="1"/>
    <col min="9478" max="9478" width="15.5703125" customWidth="1"/>
    <col min="9479" max="9479" width="16" customWidth="1"/>
    <col min="9480" max="9480" width="19.5703125" customWidth="1"/>
    <col min="9481" max="9481" width="16.85546875" customWidth="1"/>
    <col min="9482" max="9482" width="18.42578125" customWidth="1"/>
    <col min="9484" max="9484" width="30.42578125" customWidth="1"/>
    <col min="9730" max="9730" width="24.85546875" customWidth="1"/>
    <col min="9731" max="9731" width="19.85546875" customWidth="1"/>
    <col min="9732" max="9732" width="19.28515625" customWidth="1"/>
    <col min="9733" max="9733" width="18.140625" customWidth="1"/>
    <col min="9734" max="9734" width="15.5703125" customWidth="1"/>
    <col min="9735" max="9735" width="16" customWidth="1"/>
    <col min="9736" max="9736" width="19.5703125" customWidth="1"/>
    <col min="9737" max="9737" width="16.85546875" customWidth="1"/>
    <col min="9738" max="9738" width="18.42578125" customWidth="1"/>
    <col min="9740" max="9740" width="30.42578125" customWidth="1"/>
    <col min="9986" max="9986" width="24.85546875" customWidth="1"/>
    <col min="9987" max="9987" width="19.85546875" customWidth="1"/>
    <col min="9988" max="9988" width="19.28515625" customWidth="1"/>
    <col min="9989" max="9989" width="18.140625" customWidth="1"/>
    <col min="9990" max="9990" width="15.5703125" customWidth="1"/>
    <col min="9991" max="9991" width="16" customWidth="1"/>
    <col min="9992" max="9992" width="19.5703125" customWidth="1"/>
    <col min="9993" max="9993" width="16.85546875" customWidth="1"/>
    <col min="9994" max="9994" width="18.42578125" customWidth="1"/>
    <col min="9996" max="9996" width="30.42578125" customWidth="1"/>
    <col min="10242" max="10242" width="24.85546875" customWidth="1"/>
    <col min="10243" max="10243" width="19.85546875" customWidth="1"/>
    <col min="10244" max="10244" width="19.28515625" customWidth="1"/>
    <col min="10245" max="10245" width="18.140625" customWidth="1"/>
    <col min="10246" max="10246" width="15.5703125" customWidth="1"/>
    <col min="10247" max="10247" width="16" customWidth="1"/>
    <col min="10248" max="10248" width="19.5703125" customWidth="1"/>
    <col min="10249" max="10249" width="16.85546875" customWidth="1"/>
    <col min="10250" max="10250" width="18.42578125" customWidth="1"/>
    <col min="10252" max="10252" width="30.42578125" customWidth="1"/>
    <col min="10498" max="10498" width="24.85546875" customWidth="1"/>
    <col min="10499" max="10499" width="19.85546875" customWidth="1"/>
    <col min="10500" max="10500" width="19.28515625" customWidth="1"/>
    <col min="10501" max="10501" width="18.140625" customWidth="1"/>
    <col min="10502" max="10502" width="15.5703125" customWidth="1"/>
    <col min="10503" max="10503" width="16" customWidth="1"/>
    <col min="10504" max="10504" width="19.5703125" customWidth="1"/>
    <col min="10505" max="10505" width="16.85546875" customWidth="1"/>
    <col min="10506" max="10506" width="18.42578125" customWidth="1"/>
    <col min="10508" max="10508" width="30.42578125" customWidth="1"/>
    <col min="10754" max="10754" width="24.85546875" customWidth="1"/>
    <col min="10755" max="10755" width="19.85546875" customWidth="1"/>
    <col min="10756" max="10756" width="19.28515625" customWidth="1"/>
    <col min="10757" max="10757" width="18.140625" customWidth="1"/>
    <col min="10758" max="10758" width="15.5703125" customWidth="1"/>
    <col min="10759" max="10759" width="16" customWidth="1"/>
    <col min="10760" max="10760" width="19.5703125" customWidth="1"/>
    <col min="10761" max="10761" width="16.85546875" customWidth="1"/>
    <col min="10762" max="10762" width="18.42578125" customWidth="1"/>
    <col min="10764" max="10764" width="30.42578125" customWidth="1"/>
    <col min="11010" max="11010" width="24.85546875" customWidth="1"/>
    <col min="11011" max="11011" width="19.85546875" customWidth="1"/>
    <col min="11012" max="11012" width="19.28515625" customWidth="1"/>
    <col min="11013" max="11013" width="18.140625" customWidth="1"/>
    <col min="11014" max="11014" width="15.5703125" customWidth="1"/>
    <col min="11015" max="11015" width="16" customWidth="1"/>
    <col min="11016" max="11016" width="19.5703125" customWidth="1"/>
    <col min="11017" max="11017" width="16.85546875" customWidth="1"/>
    <col min="11018" max="11018" width="18.42578125" customWidth="1"/>
    <col min="11020" max="11020" width="30.42578125" customWidth="1"/>
    <col min="11266" max="11266" width="24.85546875" customWidth="1"/>
    <col min="11267" max="11267" width="19.85546875" customWidth="1"/>
    <col min="11268" max="11268" width="19.28515625" customWidth="1"/>
    <col min="11269" max="11269" width="18.140625" customWidth="1"/>
    <col min="11270" max="11270" width="15.5703125" customWidth="1"/>
    <col min="11271" max="11271" width="16" customWidth="1"/>
    <col min="11272" max="11272" width="19.5703125" customWidth="1"/>
    <col min="11273" max="11273" width="16.85546875" customWidth="1"/>
    <col min="11274" max="11274" width="18.42578125" customWidth="1"/>
    <col min="11276" max="11276" width="30.42578125" customWidth="1"/>
    <col min="11522" max="11522" width="24.85546875" customWidth="1"/>
    <col min="11523" max="11523" width="19.85546875" customWidth="1"/>
    <col min="11524" max="11524" width="19.28515625" customWidth="1"/>
    <col min="11525" max="11525" width="18.140625" customWidth="1"/>
    <col min="11526" max="11526" width="15.5703125" customWidth="1"/>
    <col min="11527" max="11527" width="16" customWidth="1"/>
    <col min="11528" max="11528" width="19.5703125" customWidth="1"/>
    <col min="11529" max="11529" width="16.85546875" customWidth="1"/>
    <col min="11530" max="11530" width="18.42578125" customWidth="1"/>
    <col min="11532" max="11532" width="30.42578125" customWidth="1"/>
    <col min="11778" max="11778" width="24.85546875" customWidth="1"/>
    <col min="11779" max="11779" width="19.85546875" customWidth="1"/>
    <col min="11780" max="11780" width="19.28515625" customWidth="1"/>
    <col min="11781" max="11781" width="18.140625" customWidth="1"/>
    <col min="11782" max="11782" width="15.5703125" customWidth="1"/>
    <col min="11783" max="11783" width="16" customWidth="1"/>
    <col min="11784" max="11784" width="19.5703125" customWidth="1"/>
    <col min="11785" max="11785" width="16.85546875" customWidth="1"/>
    <col min="11786" max="11786" width="18.42578125" customWidth="1"/>
    <col min="11788" max="11788" width="30.42578125" customWidth="1"/>
    <col min="12034" max="12034" width="24.85546875" customWidth="1"/>
    <col min="12035" max="12035" width="19.85546875" customWidth="1"/>
    <col min="12036" max="12036" width="19.28515625" customWidth="1"/>
    <col min="12037" max="12037" width="18.140625" customWidth="1"/>
    <col min="12038" max="12038" width="15.5703125" customWidth="1"/>
    <col min="12039" max="12039" width="16" customWidth="1"/>
    <col min="12040" max="12040" width="19.5703125" customWidth="1"/>
    <col min="12041" max="12041" width="16.85546875" customWidth="1"/>
    <col min="12042" max="12042" width="18.42578125" customWidth="1"/>
    <col min="12044" max="12044" width="30.42578125" customWidth="1"/>
    <col min="12290" max="12290" width="24.85546875" customWidth="1"/>
    <col min="12291" max="12291" width="19.85546875" customWidth="1"/>
    <col min="12292" max="12292" width="19.28515625" customWidth="1"/>
    <col min="12293" max="12293" width="18.140625" customWidth="1"/>
    <col min="12294" max="12294" width="15.5703125" customWidth="1"/>
    <col min="12295" max="12295" width="16" customWidth="1"/>
    <col min="12296" max="12296" width="19.5703125" customWidth="1"/>
    <col min="12297" max="12297" width="16.85546875" customWidth="1"/>
    <col min="12298" max="12298" width="18.42578125" customWidth="1"/>
    <col min="12300" max="12300" width="30.42578125" customWidth="1"/>
    <col min="12546" max="12546" width="24.85546875" customWidth="1"/>
    <col min="12547" max="12547" width="19.85546875" customWidth="1"/>
    <col min="12548" max="12548" width="19.28515625" customWidth="1"/>
    <col min="12549" max="12549" width="18.140625" customWidth="1"/>
    <col min="12550" max="12550" width="15.5703125" customWidth="1"/>
    <col min="12551" max="12551" width="16" customWidth="1"/>
    <col min="12552" max="12552" width="19.5703125" customWidth="1"/>
    <col min="12553" max="12553" width="16.85546875" customWidth="1"/>
    <col min="12554" max="12554" width="18.42578125" customWidth="1"/>
    <col min="12556" max="12556" width="30.42578125" customWidth="1"/>
    <col min="12802" max="12802" width="24.85546875" customWidth="1"/>
    <col min="12803" max="12803" width="19.85546875" customWidth="1"/>
    <col min="12804" max="12804" width="19.28515625" customWidth="1"/>
    <col min="12805" max="12805" width="18.140625" customWidth="1"/>
    <col min="12806" max="12806" width="15.5703125" customWidth="1"/>
    <col min="12807" max="12807" width="16" customWidth="1"/>
    <col min="12808" max="12808" width="19.5703125" customWidth="1"/>
    <col min="12809" max="12809" width="16.85546875" customWidth="1"/>
    <col min="12810" max="12810" width="18.42578125" customWidth="1"/>
    <col min="12812" max="12812" width="30.42578125" customWidth="1"/>
    <col min="13058" max="13058" width="24.85546875" customWidth="1"/>
    <col min="13059" max="13059" width="19.85546875" customWidth="1"/>
    <col min="13060" max="13060" width="19.28515625" customWidth="1"/>
    <col min="13061" max="13061" width="18.140625" customWidth="1"/>
    <col min="13062" max="13062" width="15.5703125" customWidth="1"/>
    <col min="13063" max="13063" width="16" customWidth="1"/>
    <col min="13064" max="13064" width="19.5703125" customWidth="1"/>
    <col min="13065" max="13065" width="16.85546875" customWidth="1"/>
    <col min="13066" max="13066" width="18.42578125" customWidth="1"/>
    <col min="13068" max="13068" width="30.42578125" customWidth="1"/>
    <col min="13314" max="13314" width="24.85546875" customWidth="1"/>
    <col min="13315" max="13315" width="19.85546875" customWidth="1"/>
    <col min="13316" max="13316" width="19.28515625" customWidth="1"/>
    <col min="13317" max="13317" width="18.140625" customWidth="1"/>
    <col min="13318" max="13318" width="15.5703125" customWidth="1"/>
    <col min="13319" max="13319" width="16" customWidth="1"/>
    <col min="13320" max="13320" width="19.5703125" customWidth="1"/>
    <col min="13321" max="13321" width="16.85546875" customWidth="1"/>
    <col min="13322" max="13322" width="18.42578125" customWidth="1"/>
    <col min="13324" max="13324" width="30.42578125" customWidth="1"/>
    <col min="13570" max="13570" width="24.85546875" customWidth="1"/>
    <col min="13571" max="13571" width="19.85546875" customWidth="1"/>
    <col min="13572" max="13572" width="19.28515625" customWidth="1"/>
    <col min="13573" max="13573" width="18.140625" customWidth="1"/>
    <col min="13574" max="13574" width="15.5703125" customWidth="1"/>
    <col min="13575" max="13575" width="16" customWidth="1"/>
    <col min="13576" max="13576" width="19.5703125" customWidth="1"/>
    <col min="13577" max="13577" width="16.85546875" customWidth="1"/>
    <col min="13578" max="13578" width="18.42578125" customWidth="1"/>
    <col min="13580" max="13580" width="30.42578125" customWidth="1"/>
    <col min="13826" max="13826" width="24.85546875" customWidth="1"/>
    <col min="13827" max="13827" width="19.85546875" customWidth="1"/>
    <col min="13828" max="13828" width="19.28515625" customWidth="1"/>
    <col min="13829" max="13829" width="18.140625" customWidth="1"/>
    <col min="13830" max="13830" width="15.5703125" customWidth="1"/>
    <col min="13831" max="13831" width="16" customWidth="1"/>
    <col min="13832" max="13832" width="19.5703125" customWidth="1"/>
    <col min="13833" max="13833" width="16.85546875" customWidth="1"/>
    <col min="13834" max="13834" width="18.42578125" customWidth="1"/>
    <col min="13836" max="13836" width="30.42578125" customWidth="1"/>
    <col min="14082" max="14082" width="24.85546875" customWidth="1"/>
    <col min="14083" max="14083" width="19.85546875" customWidth="1"/>
    <col min="14084" max="14084" width="19.28515625" customWidth="1"/>
    <col min="14085" max="14085" width="18.140625" customWidth="1"/>
    <col min="14086" max="14086" width="15.5703125" customWidth="1"/>
    <col min="14087" max="14087" width="16" customWidth="1"/>
    <col min="14088" max="14088" width="19.5703125" customWidth="1"/>
    <col min="14089" max="14089" width="16.85546875" customWidth="1"/>
    <col min="14090" max="14090" width="18.42578125" customWidth="1"/>
    <col min="14092" max="14092" width="30.42578125" customWidth="1"/>
    <col min="14338" max="14338" width="24.85546875" customWidth="1"/>
    <col min="14339" max="14339" width="19.85546875" customWidth="1"/>
    <col min="14340" max="14340" width="19.28515625" customWidth="1"/>
    <col min="14341" max="14341" width="18.140625" customWidth="1"/>
    <col min="14342" max="14342" width="15.5703125" customWidth="1"/>
    <col min="14343" max="14343" width="16" customWidth="1"/>
    <col min="14344" max="14344" width="19.5703125" customWidth="1"/>
    <col min="14345" max="14345" width="16.85546875" customWidth="1"/>
    <col min="14346" max="14346" width="18.42578125" customWidth="1"/>
    <col min="14348" max="14348" width="30.42578125" customWidth="1"/>
    <col min="14594" max="14594" width="24.85546875" customWidth="1"/>
    <col min="14595" max="14595" width="19.85546875" customWidth="1"/>
    <col min="14596" max="14596" width="19.28515625" customWidth="1"/>
    <col min="14597" max="14597" width="18.140625" customWidth="1"/>
    <col min="14598" max="14598" width="15.5703125" customWidth="1"/>
    <col min="14599" max="14599" width="16" customWidth="1"/>
    <col min="14600" max="14600" width="19.5703125" customWidth="1"/>
    <col min="14601" max="14601" width="16.85546875" customWidth="1"/>
    <col min="14602" max="14602" width="18.42578125" customWidth="1"/>
    <col min="14604" max="14604" width="30.42578125" customWidth="1"/>
    <col min="14850" max="14850" width="24.85546875" customWidth="1"/>
    <col min="14851" max="14851" width="19.85546875" customWidth="1"/>
    <col min="14852" max="14852" width="19.28515625" customWidth="1"/>
    <col min="14853" max="14853" width="18.140625" customWidth="1"/>
    <col min="14854" max="14854" width="15.5703125" customWidth="1"/>
    <col min="14855" max="14855" width="16" customWidth="1"/>
    <col min="14856" max="14856" width="19.5703125" customWidth="1"/>
    <col min="14857" max="14857" width="16.85546875" customWidth="1"/>
    <col min="14858" max="14858" width="18.42578125" customWidth="1"/>
    <col min="14860" max="14860" width="30.42578125" customWidth="1"/>
    <col min="15106" max="15106" width="24.85546875" customWidth="1"/>
    <col min="15107" max="15107" width="19.85546875" customWidth="1"/>
    <col min="15108" max="15108" width="19.28515625" customWidth="1"/>
    <col min="15109" max="15109" width="18.140625" customWidth="1"/>
    <col min="15110" max="15110" width="15.5703125" customWidth="1"/>
    <col min="15111" max="15111" width="16" customWidth="1"/>
    <col min="15112" max="15112" width="19.5703125" customWidth="1"/>
    <col min="15113" max="15113" width="16.85546875" customWidth="1"/>
    <col min="15114" max="15114" width="18.42578125" customWidth="1"/>
    <col min="15116" max="15116" width="30.42578125" customWidth="1"/>
    <col min="15362" max="15362" width="24.85546875" customWidth="1"/>
    <col min="15363" max="15363" width="19.85546875" customWidth="1"/>
    <col min="15364" max="15364" width="19.28515625" customWidth="1"/>
    <col min="15365" max="15365" width="18.140625" customWidth="1"/>
    <col min="15366" max="15366" width="15.5703125" customWidth="1"/>
    <col min="15367" max="15367" width="16" customWidth="1"/>
    <col min="15368" max="15368" width="19.5703125" customWidth="1"/>
    <col min="15369" max="15369" width="16.85546875" customWidth="1"/>
    <col min="15370" max="15370" width="18.42578125" customWidth="1"/>
    <col min="15372" max="15372" width="30.42578125" customWidth="1"/>
    <col min="15618" max="15618" width="24.85546875" customWidth="1"/>
    <col min="15619" max="15619" width="19.85546875" customWidth="1"/>
    <col min="15620" max="15620" width="19.28515625" customWidth="1"/>
    <col min="15621" max="15621" width="18.140625" customWidth="1"/>
    <col min="15622" max="15622" width="15.5703125" customWidth="1"/>
    <col min="15623" max="15623" width="16" customWidth="1"/>
    <col min="15624" max="15624" width="19.5703125" customWidth="1"/>
    <col min="15625" max="15625" width="16.85546875" customWidth="1"/>
    <col min="15626" max="15626" width="18.42578125" customWidth="1"/>
    <col min="15628" max="15628" width="30.42578125" customWidth="1"/>
    <col min="15874" max="15874" width="24.85546875" customWidth="1"/>
    <col min="15875" max="15875" width="19.85546875" customWidth="1"/>
    <col min="15876" max="15876" width="19.28515625" customWidth="1"/>
    <col min="15877" max="15877" width="18.140625" customWidth="1"/>
    <col min="15878" max="15878" width="15.5703125" customWidth="1"/>
    <col min="15879" max="15879" width="16" customWidth="1"/>
    <col min="15880" max="15880" width="19.5703125" customWidth="1"/>
    <col min="15881" max="15881" width="16.85546875" customWidth="1"/>
    <col min="15882" max="15882" width="18.42578125" customWidth="1"/>
    <col min="15884" max="15884" width="30.42578125" customWidth="1"/>
    <col min="16130" max="16130" width="24.85546875" customWidth="1"/>
    <col min="16131" max="16131" width="19.85546875" customWidth="1"/>
    <col min="16132" max="16132" width="19.28515625" customWidth="1"/>
    <col min="16133" max="16133" width="18.140625" customWidth="1"/>
    <col min="16134" max="16134" width="15.5703125" customWidth="1"/>
    <col min="16135" max="16135" width="16" customWidth="1"/>
    <col min="16136" max="16136" width="19.5703125" customWidth="1"/>
    <col min="16137" max="16137" width="16.85546875" customWidth="1"/>
    <col min="16138" max="16138" width="18.42578125" customWidth="1"/>
    <col min="16140" max="16140" width="30.42578125" customWidth="1"/>
  </cols>
  <sheetData>
    <row r="1" spans="1:17" ht="15.75" x14ac:dyDescent="0.25">
      <c r="A1" s="1420" t="s">
        <v>0</v>
      </c>
      <c r="B1" s="1420"/>
      <c r="C1" s="1420"/>
      <c r="D1" s="1420"/>
      <c r="E1" s="1420"/>
      <c r="F1" s="1420"/>
      <c r="G1" s="1420"/>
      <c r="H1" s="1420"/>
      <c r="I1" s="1420"/>
      <c r="J1" s="1420"/>
      <c r="K1" s="1"/>
      <c r="L1" s="1"/>
      <c r="M1" s="1"/>
      <c r="N1" s="1"/>
      <c r="O1" s="1"/>
      <c r="P1" s="1"/>
      <c r="Q1" s="1"/>
    </row>
    <row r="2" spans="1:17" ht="15.75" x14ac:dyDescent="0.25">
      <c r="A2" s="1420" t="s">
        <v>1</v>
      </c>
      <c r="B2" s="1420"/>
      <c r="C2" s="1420"/>
      <c r="D2" s="1420"/>
      <c r="E2" s="1420"/>
      <c r="F2" s="1420"/>
      <c r="G2" s="1420"/>
      <c r="H2" s="1420"/>
      <c r="I2" s="1420"/>
      <c r="J2" s="1420"/>
      <c r="K2" s="1"/>
      <c r="L2" s="1"/>
      <c r="M2" s="1"/>
      <c r="N2" s="1"/>
      <c r="O2" s="1"/>
      <c r="P2" s="1"/>
      <c r="Q2" s="1"/>
    </row>
    <row r="3" spans="1:17" x14ac:dyDescent="0.25">
      <c r="A3" s="2"/>
      <c r="B3" s="2"/>
      <c r="C3" s="2"/>
      <c r="D3" s="2"/>
      <c r="E3" s="2"/>
      <c r="F3" s="3"/>
      <c r="G3" s="4"/>
      <c r="H3" s="5"/>
      <c r="I3" s="2"/>
      <c r="J3" s="2"/>
    </row>
    <row r="4" spans="1:17" x14ac:dyDescent="0.25">
      <c r="A4" s="6"/>
      <c r="B4" s="6"/>
      <c r="C4" s="6"/>
      <c r="D4" s="6"/>
      <c r="E4" s="6"/>
      <c r="F4" s="7"/>
      <c r="G4" s="8"/>
      <c r="H4" s="9"/>
      <c r="I4" s="6"/>
      <c r="J4" s="6"/>
    </row>
    <row r="5" spans="1:17" ht="19.5" customHeight="1" x14ac:dyDescent="0.25">
      <c r="A5" s="1421" t="s">
        <v>2</v>
      </c>
      <c r="B5" s="1421"/>
      <c r="C5" s="1422" t="s">
        <v>3</v>
      </c>
      <c r="D5" s="1422" t="s">
        <v>4</v>
      </c>
      <c r="E5" s="10"/>
      <c r="F5" s="1425" t="s">
        <v>5</v>
      </c>
      <c r="G5" s="1426"/>
      <c r="H5" s="1422" t="s">
        <v>6</v>
      </c>
      <c r="I5" s="1421" t="s">
        <v>7</v>
      </c>
      <c r="J5" s="1421" t="s">
        <v>8</v>
      </c>
    </row>
    <row r="6" spans="1:17" ht="33" customHeight="1" x14ac:dyDescent="0.25">
      <c r="A6" s="1421"/>
      <c r="B6" s="1421"/>
      <c r="C6" s="1423"/>
      <c r="D6" s="1424"/>
      <c r="E6" s="11" t="s">
        <v>9</v>
      </c>
      <c r="F6" s="12" t="s">
        <v>10</v>
      </c>
      <c r="G6" s="11" t="s">
        <v>11</v>
      </c>
      <c r="H6" s="1423"/>
      <c r="I6" s="1421"/>
      <c r="J6" s="1421"/>
    </row>
    <row r="7" spans="1:17" ht="18" customHeight="1" x14ac:dyDescent="0.25">
      <c r="A7" s="1419" t="s">
        <v>12</v>
      </c>
      <c r="B7" s="1419"/>
      <c r="C7" s="13" t="s">
        <v>13</v>
      </c>
      <c r="D7" s="13" t="s">
        <v>14</v>
      </c>
      <c r="E7" s="13" t="s">
        <v>15</v>
      </c>
      <c r="F7" s="14">
        <v>5</v>
      </c>
      <c r="G7" s="15" t="s">
        <v>16</v>
      </c>
      <c r="H7" s="15" t="s">
        <v>17</v>
      </c>
      <c r="I7" s="15" t="s">
        <v>18</v>
      </c>
      <c r="J7" s="15" t="s">
        <v>19</v>
      </c>
    </row>
    <row r="8" spans="1:17" s="18" customFormat="1" ht="25.5" customHeight="1" x14ac:dyDescent="0.25">
      <c r="A8" s="16" t="s">
        <v>20</v>
      </c>
      <c r="B8" s="1397" t="s">
        <v>21</v>
      </c>
      <c r="C8" s="1398"/>
      <c r="D8" s="1398"/>
      <c r="E8" s="1398"/>
      <c r="F8" s="1398"/>
      <c r="G8" s="1398"/>
      <c r="H8" s="1398"/>
      <c r="I8" s="1398"/>
      <c r="J8" s="1398"/>
      <c r="K8" s="17"/>
    </row>
    <row r="9" spans="1:17" s="1076" customFormat="1" ht="63" customHeight="1" x14ac:dyDescent="0.25">
      <c r="A9" s="1068" t="s">
        <v>22</v>
      </c>
      <c r="B9" s="1069" t="s">
        <v>23</v>
      </c>
      <c r="C9" s="356" t="s">
        <v>24</v>
      </c>
      <c r="D9" s="1069" t="s">
        <v>25</v>
      </c>
      <c r="E9" s="1069" t="s">
        <v>26</v>
      </c>
      <c r="F9" s="1070" t="s">
        <v>2569</v>
      </c>
      <c r="G9" s="1077">
        <v>1</v>
      </c>
      <c r="H9" s="1075" t="s">
        <v>2556</v>
      </c>
      <c r="I9" s="1075" t="s">
        <v>2559</v>
      </c>
      <c r="J9" s="1071" t="s">
        <v>27</v>
      </c>
    </row>
    <row r="10" spans="1:17" s="1072" customFormat="1" ht="78" customHeight="1" x14ac:dyDescent="0.25">
      <c r="A10" s="1068"/>
      <c r="B10" s="1068"/>
      <c r="C10" s="356" t="s">
        <v>28</v>
      </c>
      <c r="D10" s="1075" t="s">
        <v>29</v>
      </c>
      <c r="E10" s="1069" t="s">
        <v>30</v>
      </c>
      <c r="F10" s="1077">
        <v>0</v>
      </c>
      <c r="G10" s="1077">
        <v>0.5</v>
      </c>
      <c r="H10" s="1075" t="s">
        <v>2557</v>
      </c>
      <c r="I10" s="1075" t="s">
        <v>2558</v>
      </c>
      <c r="J10" s="1071" t="s">
        <v>27</v>
      </c>
      <c r="L10" s="1074"/>
    </row>
    <row r="11" spans="1:17" s="1072" customFormat="1" ht="78" customHeight="1" x14ac:dyDescent="0.25">
      <c r="A11" s="1068"/>
      <c r="B11" s="1068"/>
      <c r="C11" s="40"/>
      <c r="D11" s="1069" t="s">
        <v>31</v>
      </c>
      <c r="E11" s="1069" t="s">
        <v>32</v>
      </c>
      <c r="F11" s="1077">
        <v>0</v>
      </c>
      <c r="G11" s="1077">
        <v>0.5</v>
      </c>
      <c r="H11" s="1075" t="s">
        <v>2557</v>
      </c>
      <c r="I11" s="1075" t="s">
        <v>2558</v>
      </c>
      <c r="J11" s="1071" t="s">
        <v>27</v>
      </c>
      <c r="L11" s="1074"/>
    </row>
    <row r="12" spans="1:17" s="1072" customFormat="1" ht="51" customHeight="1" x14ac:dyDescent="0.25">
      <c r="A12" s="1068"/>
      <c r="B12" s="1068"/>
      <c r="C12" s="40"/>
      <c r="D12" s="1068"/>
      <c r="E12" s="1075" t="s">
        <v>33</v>
      </c>
      <c r="F12" s="1077">
        <v>0</v>
      </c>
      <c r="G12" s="1077">
        <v>1</v>
      </c>
      <c r="H12" s="1075" t="s">
        <v>1883</v>
      </c>
      <c r="I12" s="1075" t="s">
        <v>2560</v>
      </c>
      <c r="J12" s="1071" t="s">
        <v>27</v>
      </c>
      <c r="L12" s="1074"/>
    </row>
    <row r="13" spans="1:17" ht="54" customHeight="1" x14ac:dyDescent="0.25">
      <c r="A13" s="19"/>
      <c r="B13" s="19"/>
      <c r="C13" s="26"/>
      <c r="D13" s="29"/>
      <c r="E13" s="21" t="s">
        <v>34</v>
      </c>
      <c r="F13" s="31" t="s">
        <v>35</v>
      </c>
      <c r="G13" s="32" t="s">
        <v>36</v>
      </c>
      <c r="H13" s="1429" t="s">
        <v>37</v>
      </c>
      <c r="I13" s="32" t="s">
        <v>38</v>
      </c>
      <c r="J13" s="33" t="s">
        <v>39</v>
      </c>
      <c r="L13" s="35"/>
    </row>
    <row r="14" spans="1:17" ht="53.25" customHeight="1" x14ac:dyDescent="0.25">
      <c r="A14" s="19"/>
      <c r="B14" s="19"/>
      <c r="C14" s="26"/>
      <c r="D14" s="29"/>
      <c r="E14" s="21" t="s">
        <v>40</v>
      </c>
      <c r="F14" s="34">
        <v>0.98</v>
      </c>
      <c r="G14" s="34">
        <v>1</v>
      </c>
      <c r="H14" s="1430"/>
      <c r="I14" s="32" t="s">
        <v>38</v>
      </c>
      <c r="J14" s="33" t="s">
        <v>39</v>
      </c>
      <c r="L14" s="35"/>
    </row>
    <row r="15" spans="1:17" s="1072" customFormat="1" ht="92.25" customHeight="1" x14ac:dyDescent="0.25">
      <c r="A15" s="1068"/>
      <c r="B15" s="1068"/>
      <c r="C15" s="40"/>
      <c r="D15" s="1068"/>
      <c r="E15" s="1069" t="s">
        <v>41</v>
      </c>
      <c r="F15" s="1070">
        <v>0.35249999999999998</v>
      </c>
      <c r="G15" s="1070">
        <v>0.76900000000000002</v>
      </c>
      <c r="H15" s="1075" t="s">
        <v>2552</v>
      </c>
      <c r="I15" s="1075" t="s">
        <v>2554</v>
      </c>
      <c r="J15" s="1071" t="s">
        <v>27</v>
      </c>
      <c r="L15" s="1074"/>
    </row>
    <row r="16" spans="1:17" s="1072" customFormat="1" ht="180.75" customHeight="1" x14ac:dyDescent="0.25">
      <c r="A16" s="1068"/>
      <c r="B16" s="1069"/>
      <c r="C16" s="1069" t="s">
        <v>28</v>
      </c>
      <c r="D16" s="1069" t="s">
        <v>31</v>
      </c>
      <c r="E16" s="1069" t="s">
        <v>42</v>
      </c>
      <c r="F16" s="1070">
        <v>0.35249999999999998</v>
      </c>
      <c r="G16" s="1070">
        <v>0.76900000000000002</v>
      </c>
      <c r="H16" s="1075" t="s">
        <v>2552</v>
      </c>
      <c r="I16" s="1075" t="s">
        <v>2554</v>
      </c>
      <c r="J16" s="1071" t="s">
        <v>27</v>
      </c>
      <c r="L16" s="1074"/>
    </row>
    <row r="17" spans="1:12" s="1072" customFormat="1" ht="90.75" customHeight="1" x14ac:dyDescent="0.25">
      <c r="A17" s="1068"/>
      <c r="B17" s="1068"/>
      <c r="C17" s="1068"/>
      <c r="D17" s="1068"/>
      <c r="E17" s="1069" t="s">
        <v>43</v>
      </c>
      <c r="F17" s="1077">
        <v>0.3</v>
      </c>
      <c r="G17" s="1077">
        <v>0.5</v>
      </c>
      <c r="H17" s="23" t="s">
        <v>2561</v>
      </c>
      <c r="I17" s="23" t="s">
        <v>2562</v>
      </c>
      <c r="J17" s="1071" t="s">
        <v>27</v>
      </c>
      <c r="L17" s="1074"/>
    </row>
    <row r="18" spans="1:12" s="1072" customFormat="1" ht="54" customHeight="1" x14ac:dyDescent="0.25">
      <c r="A18" s="1068"/>
      <c r="B18" s="1068"/>
      <c r="C18" s="1068"/>
      <c r="D18" s="1068"/>
      <c r="E18" s="1069" t="s">
        <v>44</v>
      </c>
      <c r="F18" s="1077">
        <v>0.15</v>
      </c>
      <c r="G18" s="1077">
        <v>0.3</v>
      </c>
      <c r="H18" s="23" t="s">
        <v>2561</v>
      </c>
      <c r="I18" s="23" t="s">
        <v>2562</v>
      </c>
      <c r="J18" s="1071" t="s">
        <v>27</v>
      </c>
      <c r="L18" s="1074"/>
    </row>
    <row r="19" spans="1:12" s="1072" customFormat="1" ht="64.5" customHeight="1" x14ac:dyDescent="0.25">
      <c r="A19" s="1068"/>
      <c r="B19" s="1068"/>
      <c r="C19" s="356" t="s">
        <v>45</v>
      </c>
      <c r="D19" s="1075" t="s">
        <v>46</v>
      </c>
      <c r="E19" s="1069" t="s">
        <v>47</v>
      </c>
      <c r="F19" s="37">
        <v>0</v>
      </c>
      <c r="G19" s="37">
        <v>1</v>
      </c>
      <c r="H19" s="23" t="s">
        <v>2036</v>
      </c>
      <c r="I19" s="23" t="s">
        <v>2555</v>
      </c>
      <c r="J19" s="1071" t="s">
        <v>27</v>
      </c>
      <c r="L19" s="1074"/>
    </row>
    <row r="20" spans="1:12" s="1072" customFormat="1" ht="78" customHeight="1" x14ac:dyDescent="0.25">
      <c r="A20" s="1068"/>
      <c r="B20" s="1068"/>
      <c r="C20" s="356" t="s">
        <v>48</v>
      </c>
      <c r="D20" s="1075" t="s">
        <v>49</v>
      </c>
      <c r="E20" s="1069" t="s">
        <v>50</v>
      </c>
      <c r="F20" s="37">
        <v>0.05</v>
      </c>
      <c r="G20" s="37">
        <v>1</v>
      </c>
      <c r="H20" s="23" t="s">
        <v>2036</v>
      </c>
      <c r="I20" s="23" t="s">
        <v>2555</v>
      </c>
      <c r="J20" s="1071" t="s">
        <v>27</v>
      </c>
      <c r="L20" s="1074"/>
    </row>
    <row r="21" spans="1:12" ht="75.75" customHeight="1" x14ac:dyDescent="0.25">
      <c r="A21" s="19"/>
      <c r="B21" s="19"/>
      <c r="C21" s="36"/>
      <c r="D21" s="301" t="s">
        <v>51</v>
      </c>
      <c r="E21" s="23" t="s">
        <v>52</v>
      </c>
      <c r="F21" s="37">
        <v>0.1</v>
      </c>
      <c r="G21" s="38">
        <v>0.8448</v>
      </c>
      <c r="H21" s="23" t="s">
        <v>53</v>
      </c>
      <c r="I21" s="32" t="s">
        <v>54</v>
      </c>
      <c r="J21" s="25" t="s">
        <v>55</v>
      </c>
      <c r="L21" s="35"/>
    </row>
    <row r="22" spans="1:12" s="1072" customFormat="1" ht="87" customHeight="1" x14ac:dyDescent="0.25">
      <c r="A22" s="1068"/>
      <c r="B22" s="1068"/>
      <c r="C22" s="356" t="s">
        <v>48</v>
      </c>
      <c r="D22" s="1069" t="s">
        <v>51</v>
      </c>
      <c r="E22" s="1069" t="s">
        <v>56</v>
      </c>
      <c r="F22" s="1070">
        <v>4.4299999999999999E-2</v>
      </c>
      <c r="G22" s="1070">
        <v>0.14760000000000001</v>
      </c>
      <c r="H22" s="1069" t="s">
        <v>2552</v>
      </c>
      <c r="I22" s="1068" t="s">
        <v>2553</v>
      </c>
      <c r="J22" s="1071" t="s">
        <v>27</v>
      </c>
      <c r="L22" s="1073"/>
    </row>
    <row r="23" spans="1:12" s="1072" customFormat="1" ht="68.25" customHeight="1" x14ac:dyDescent="0.25">
      <c r="A23" s="1068"/>
      <c r="B23" s="1068"/>
      <c r="C23" s="40"/>
      <c r="D23" s="1068"/>
      <c r="E23" s="1069" t="s">
        <v>57</v>
      </c>
      <c r="F23" s="1070">
        <v>0.15379999999999999</v>
      </c>
      <c r="G23" s="1070">
        <v>0.51280000000000003</v>
      </c>
      <c r="H23" s="1069" t="s">
        <v>2552</v>
      </c>
      <c r="I23" s="1068" t="s">
        <v>2553</v>
      </c>
      <c r="J23" s="1071" t="s">
        <v>27</v>
      </c>
      <c r="L23" s="1073"/>
    </row>
    <row r="24" spans="1:12" ht="74.25" customHeight="1" x14ac:dyDescent="0.25">
      <c r="A24" s="19"/>
      <c r="B24" s="19"/>
      <c r="C24" s="26"/>
      <c r="D24" s="29"/>
      <c r="E24" s="27" t="s">
        <v>58</v>
      </c>
      <c r="F24" s="32" t="s">
        <v>59</v>
      </c>
      <c r="G24" s="32" t="s">
        <v>60</v>
      </c>
      <c r="H24" s="22" t="s">
        <v>53</v>
      </c>
      <c r="I24" s="32" t="s">
        <v>54</v>
      </c>
      <c r="J24" s="39" t="s">
        <v>61</v>
      </c>
      <c r="L24" s="259"/>
    </row>
    <row r="25" spans="1:12" ht="69.75" customHeight="1" x14ac:dyDescent="0.25">
      <c r="A25" s="19"/>
      <c r="B25" s="19"/>
      <c r="C25" s="26"/>
      <c r="D25" s="29"/>
      <c r="E25" s="27" t="s">
        <v>62</v>
      </c>
      <c r="F25" s="32" t="s">
        <v>63</v>
      </c>
      <c r="G25" s="32" t="s">
        <v>64</v>
      </c>
      <c r="H25" s="24"/>
      <c r="I25" s="24"/>
      <c r="J25" s="39" t="s">
        <v>61</v>
      </c>
    </row>
    <row r="26" spans="1:12" ht="51" customHeight="1" x14ac:dyDescent="0.25">
      <c r="A26" s="19"/>
      <c r="B26" s="19"/>
      <c r="C26" s="26"/>
      <c r="D26" s="29"/>
      <c r="E26" s="27" t="s">
        <v>65</v>
      </c>
      <c r="F26" s="32" t="s">
        <v>66</v>
      </c>
      <c r="G26" s="32" t="s">
        <v>67</v>
      </c>
      <c r="H26" s="24"/>
      <c r="I26" s="24"/>
      <c r="J26" s="39" t="s">
        <v>61</v>
      </c>
    </row>
    <row r="27" spans="1:12" s="43" customFormat="1" ht="150" customHeight="1" x14ac:dyDescent="0.25">
      <c r="A27" s="40"/>
      <c r="B27" s="40"/>
      <c r="C27" s="40"/>
      <c r="D27" s="40"/>
      <c r="E27" s="356" t="s">
        <v>68</v>
      </c>
      <c r="F27" s="1078" t="s">
        <v>2563</v>
      </c>
      <c r="G27" s="1078" t="s">
        <v>2564</v>
      </c>
      <c r="H27" s="22" t="s">
        <v>2552</v>
      </c>
      <c r="I27" s="1068" t="s">
        <v>2565</v>
      </c>
      <c r="J27" s="1071" t="s">
        <v>27</v>
      </c>
    </row>
    <row r="28" spans="1:12" s="1072" customFormat="1" ht="57.75" customHeight="1" x14ac:dyDescent="0.25">
      <c r="A28" s="1068"/>
      <c r="B28" s="1068"/>
      <c r="C28" s="40"/>
      <c r="D28" s="1068"/>
      <c r="E28" s="1069" t="s">
        <v>69</v>
      </c>
      <c r="F28" s="1079">
        <v>0</v>
      </c>
      <c r="G28" s="1079">
        <v>0.3</v>
      </c>
      <c r="H28" s="22" t="s">
        <v>2552</v>
      </c>
      <c r="I28" s="1068" t="s">
        <v>2565</v>
      </c>
      <c r="J28" s="1071" t="s">
        <v>27</v>
      </c>
    </row>
    <row r="29" spans="1:12" s="1072" customFormat="1" ht="65.25" customHeight="1" x14ac:dyDescent="0.25">
      <c r="A29" s="1068"/>
      <c r="B29" s="1068"/>
      <c r="C29" s="40"/>
      <c r="D29" s="1068"/>
      <c r="E29" s="1069" t="s">
        <v>70</v>
      </c>
      <c r="F29" s="1080">
        <v>0</v>
      </c>
      <c r="G29" s="1080" t="s">
        <v>2566</v>
      </c>
      <c r="H29" s="22" t="s">
        <v>2552</v>
      </c>
      <c r="I29" s="1068" t="s">
        <v>2565</v>
      </c>
      <c r="J29" s="1071" t="s">
        <v>27</v>
      </c>
    </row>
    <row r="30" spans="1:12" ht="81" customHeight="1" x14ac:dyDescent="0.25">
      <c r="A30" s="44" t="s">
        <v>71</v>
      </c>
      <c r="B30" s="45" t="s">
        <v>72</v>
      </c>
      <c r="C30" s="21" t="s">
        <v>73</v>
      </c>
      <c r="D30" s="27" t="s">
        <v>74</v>
      </c>
      <c r="E30" s="23" t="s">
        <v>75</v>
      </c>
      <c r="F30" s="37">
        <v>0.43</v>
      </c>
      <c r="G30" s="37">
        <v>1</v>
      </c>
      <c r="H30" s="22" t="s">
        <v>76</v>
      </c>
      <c r="I30" s="32" t="s">
        <v>54</v>
      </c>
      <c r="J30" s="32" t="s">
        <v>55</v>
      </c>
    </row>
    <row r="31" spans="1:12" ht="68.25" customHeight="1" x14ac:dyDescent="0.25">
      <c r="A31" s="44"/>
      <c r="B31" s="45"/>
      <c r="C31" s="46"/>
      <c r="D31" s="47"/>
      <c r="E31" s="23"/>
      <c r="F31" s="37"/>
      <c r="G31" s="37"/>
      <c r="H31" s="22" t="s">
        <v>77</v>
      </c>
      <c r="I31" s="32" t="s">
        <v>54</v>
      </c>
      <c r="J31" s="32" t="s">
        <v>55</v>
      </c>
    </row>
    <row r="32" spans="1:12" ht="103.5" customHeight="1" x14ac:dyDescent="0.25">
      <c r="A32" s="19"/>
      <c r="B32" s="19"/>
      <c r="C32" s="48"/>
      <c r="D32" s="49"/>
      <c r="E32" s="23" t="s">
        <v>78</v>
      </c>
      <c r="F32" s="37">
        <v>0.2</v>
      </c>
      <c r="G32" s="37">
        <v>1</v>
      </c>
      <c r="H32" s="22" t="s">
        <v>79</v>
      </c>
      <c r="I32" s="32" t="s">
        <v>54</v>
      </c>
      <c r="J32" s="32" t="s">
        <v>55</v>
      </c>
    </row>
    <row r="33" spans="1:12" ht="63" customHeight="1" x14ac:dyDescent="0.25">
      <c r="A33" s="19"/>
      <c r="B33" s="19"/>
      <c r="C33" s="48"/>
      <c r="D33" s="49"/>
      <c r="E33" s="23"/>
      <c r="F33" s="37"/>
      <c r="G33" s="37"/>
      <c r="H33" s="21" t="s">
        <v>80</v>
      </c>
      <c r="I33" s="32" t="s">
        <v>54</v>
      </c>
      <c r="J33" s="32" t="s">
        <v>55</v>
      </c>
    </row>
    <row r="34" spans="1:12" ht="51.75" customHeight="1" x14ac:dyDescent="0.25">
      <c r="A34" s="19"/>
      <c r="B34" s="19"/>
      <c r="C34" s="48"/>
      <c r="D34" s="49"/>
      <c r="E34" s="23"/>
      <c r="F34" s="37"/>
      <c r="G34" s="37"/>
      <c r="H34" s="41" t="s">
        <v>81</v>
      </c>
      <c r="I34" s="50" t="s">
        <v>54</v>
      </c>
      <c r="J34" s="32" t="s">
        <v>55</v>
      </c>
    </row>
    <row r="35" spans="1:12" ht="53.25" customHeight="1" x14ac:dyDescent="0.25">
      <c r="A35" s="19"/>
      <c r="B35" s="19"/>
      <c r="C35" s="48"/>
      <c r="D35" s="49"/>
      <c r="E35" s="23"/>
      <c r="F35" s="37"/>
      <c r="G35" s="37"/>
      <c r="H35" s="21" t="s">
        <v>82</v>
      </c>
      <c r="I35" s="50" t="s">
        <v>54</v>
      </c>
      <c r="J35" s="32" t="s">
        <v>55</v>
      </c>
    </row>
    <row r="36" spans="1:12" ht="110.25" customHeight="1" x14ac:dyDescent="0.25">
      <c r="A36" s="19"/>
      <c r="B36" s="19"/>
      <c r="C36" s="48"/>
      <c r="D36" s="49"/>
      <c r="E36" s="30" t="s">
        <v>83</v>
      </c>
      <c r="F36" s="38">
        <v>0.22489999999999999</v>
      </c>
      <c r="G36" s="37">
        <v>1</v>
      </c>
      <c r="H36" s="22" t="s">
        <v>84</v>
      </c>
      <c r="I36" s="50" t="s">
        <v>54</v>
      </c>
      <c r="J36" s="32" t="s">
        <v>55</v>
      </c>
    </row>
    <row r="37" spans="1:12" ht="113.25" customHeight="1" x14ac:dyDescent="0.25">
      <c r="A37" s="19"/>
      <c r="B37" s="19"/>
      <c r="C37" s="48"/>
      <c r="D37" s="49"/>
      <c r="E37" s="30" t="s">
        <v>85</v>
      </c>
      <c r="F37" s="37">
        <v>0.17</v>
      </c>
      <c r="G37" s="37">
        <v>1</v>
      </c>
      <c r="H37" s="22" t="s">
        <v>76</v>
      </c>
      <c r="I37" s="50" t="s">
        <v>54</v>
      </c>
      <c r="J37" s="32" t="s">
        <v>55</v>
      </c>
      <c r="L37" s="21"/>
    </row>
    <row r="38" spans="1:12" ht="75.75" customHeight="1" x14ac:dyDescent="0.25">
      <c r="A38" s="19"/>
      <c r="B38" s="19"/>
      <c r="C38" s="48"/>
      <c r="D38" s="49"/>
      <c r="E38" s="30"/>
      <c r="F38" s="37"/>
      <c r="G38" s="37"/>
      <c r="H38" s="21" t="s">
        <v>86</v>
      </c>
      <c r="I38" s="50" t="s">
        <v>54</v>
      </c>
      <c r="J38" s="32" t="s">
        <v>55</v>
      </c>
      <c r="L38" s="51"/>
    </row>
    <row r="39" spans="1:12" ht="98.25" customHeight="1" x14ac:dyDescent="0.25">
      <c r="A39" s="19"/>
      <c r="B39" s="19"/>
      <c r="C39" s="48"/>
      <c r="D39" s="49"/>
      <c r="E39" s="30" t="s">
        <v>87</v>
      </c>
      <c r="F39" s="24"/>
      <c r="G39" s="24"/>
      <c r="H39" s="24"/>
      <c r="I39" s="24"/>
      <c r="J39" s="25" t="s">
        <v>27</v>
      </c>
    </row>
    <row r="40" spans="1:12" ht="53.25" customHeight="1" x14ac:dyDescent="0.25">
      <c r="A40" s="19"/>
      <c r="B40" s="19"/>
      <c r="C40" s="48"/>
      <c r="D40" s="49"/>
      <c r="E40" s="30" t="s">
        <v>88</v>
      </c>
      <c r="F40" s="32" t="s">
        <v>89</v>
      </c>
      <c r="G40" s="32" t="s">
        <v>90</v>
      </c>
      <c r="H40" s="206" t="s">
        <v>93</v>
      </c>
      <c r="I40" s="32" t="s">
        <v>92</v>
      </c>
      <c r="J40" s="33" t="s">
        <v>39</v>
      </c>
    </row>
    <row r="41" spans="1:12" ht="59.25" customHeight="1" x14ac:dyDescent="0.25">
      <c r="A41" s="19"/>
      <c r="B41" s="19"/>
      <c r="C41" s="48"/>
      <c r="D41" s="49"/>
      <c r="E41" s="30" t="s">
        <v>97</v>
      </c>
      <c r="F41" s="24"/>
      <c r="G41" s="24"/>
      <c r="H41" s="308" t="s">
        <v>98</v>
      </c>
      <c r="I41" s="39" t="s">
        <v>99</v>
      </c>
      <c r="J41" s="33" t="s">
        <v>39</v>
      </c>
    </row>
    <row r="42" spans="1:12" ht="99" customHeight="1" x14ac:dyDescent="0.25">
      <c r="A42" s="44" t="s">
        <v>100</v>
      </c>
      <c r="B42" s="22" t="s">
        <v>101</v>
      </c>
      <c r="C42" s="21" t="s">
        <v>102</v>
      </c>
      <c r="D42" s="22" t="s">
        <v>103</v>
      </c>
      <c r="E42" s="27" t="s">
        <v>104</v>
      </c>
      <c r="F42" s="53">
        <v>0.18</v>
      </c>
      <c r="G42" s="53">
        <v>0.46</v>
      </c>
      <c r="H42" s="22" t="s">
        <v>105</v>
      </c>
      <c r="I42" s="39" t="s">
        <v>106</v>
      </c>
      <c r="J42" s="54" t="s">
        <v>107</v>
      </c>
    </row>
    <row r="43" spans="1:12" ht="93.75" customHeight="1" x14ac:dyDescent="0.25">
      <c r="A43" s="29"/>
      <c r="B43" s="29"/>
      <c r="C43" s="29"/>
      <c r="D43" s="22" t="s">
        <v>108</v>
      </c>
      <c r="E43" s="27" t="s">
        <v>109</v>
      </c>
      <c r="F43" s="53">
        <v>0.18</v>
      </c>
      <c r="G43" s="53">
        <v>0.35</v>
      </c>
      <c r="H43" s="22" t="s">
        <v>110</v>
      </c>
      <c r="I43" s="39" t="s">
        <v>106</v>
      </c>
      <c r="J43" s="54" t="s">
        <v>107</v>
      </c>
    </row>
    <row r="44" spans="1:12" ht="93.75" customHeight="1" x14ac:dyDescent="0.25">
      <c r="A44" s="29"/>
      <c r="B44" s="29"/>
      <c r="C44" s="29"/>
      <c r="D44" s="22" t="s">
        <v>111</v>
      </c>
      <c r="E44" s="27" t="s">
        <v>112</v>
      </c>
      <c r="F44" s="53">
        <v>0.49</v>
      </c>
      <c r="G44" s="53">
        <v>1</v>
      </c>
      <c r="H44" s="22" t="s">
        <v>113</v>
      </c>
      <c r="I44" s="39" t="s">
        <v>106</v>
      </c>
      <c r="J44" s="54" t="s">
        <v>107</v>
      </c>
    </row>
    <row r="45" spans="1:12" ht="120" customHeight="1" x14ac:dyDescent="0.25">
      <c r="A45" s="29"/>
      <c r="B45" s="29"/>
      <c r="C45" s="29"/>
      <c r="D45" s="29"/>
      <c r="E45" s="27" t="s">
        <v>114</v>
      </c>
      <c r="F45" s="53">
        <v>0.54</v>
      </c>
      <c r="G45" s="53">
        <v>0.97</v>
      </c>
      <c r="H45" s="22" t="s">
        <v>115</v>
      </c>
      <c r="I45" s="39" t="s">
        <v>106</v>
      </c>
      <c r="J45" s="54" t="s">
        <v>107</v>
      </c>
    </row>
    <row r="46" spans="1:12" ht="105" customHeight="1" x14ac:dyDescent="0.25">
      <c r="A46" s="29"/>
      <c r="B46" s="22"/>
      <c r="C46" s="22"/>
      <c r="D46" s="22"/>
      <c r="E46" s="47" t="s">
        <v>116</v>
      </c>
      <c r="F46" s="55">
        <v>0.25</v>
      </c>
      <c r="G46" s="56">
        <v>0.88</v>
      </c>
      <c r="H46" s="57" t="s">
        <v>117</v>
      </c>
      <c r="I46" s="58" t="s">
        <v>106</v>
      </c>
      <c r="J46" s="59" t="s">
        <v>107</v>
      </c>
    </row>
    <row r="47" spans="1:12" ht="107.25" customHeight="1" x14ac:dyDescent="0.25">
      <c r="A47" s="29"/>
      <c r="B47" s="29"/>
      <c r="C47" s="29"/>
      <c r="D47" s="29"/>
      <c r="E47" s="27" t="s">
        <v>118</v>
      </c>
      <c r="F47" s="31">
        <v>0.35</v>
      </c>
      <c r="G47" s="53">
        <v>0.79</v>
      </c>
      <c r="H47" s="22" t="s">
        <v>119</v>
      </c>
      <c r="I47" s="39" t="s">
        <v>106</v>
      </c>
      <c r="J47" s="54" t="s">
        <v>107</v>
      </c>
    </row>
    <row r="48" spans="1:12" ht="121.5" customHeight="1" x14ac:dyDescent="0.25">
      <c r="A48" s="29"/>
      <c r="B48" s="29"/>
      <c r="C48" s="29"/>
      <c r="D48" s="29"/>
      <c r="E48" s="27" t="s">
        <v>120</v>
      </c>
      <c r="F48" s="53">
        <v>0.35</v>
      </c>
      <c r="G48" s="53">
        <v>0.71</v>
      </c>
      <c r="H48" s="29"/>
      <c r="I48" s="39" t="s">
        <v>106</v>
      </c>
      <c r="J48" s="54" t="s">
        <v>107</v>
      </c>
    </row>
    <row r="49" spans="1:12" ht="108.75" customHeight="1" x14ac:dyDescent="0.25">
      <c r="A49" s="29"/>
      <c r="B49" s="29"/>
      <c r="C49" s="29"/>
      <c r="D49" s="29"/>
      <c r="E49" s="27" t="s">
        <v>121</v>
      </c>
      <c r="F49" s="53">
        <v>0.34</v>
      </c>
      <c r="G49" s="53">
        <v>0.66</v>
      </c>
      <c r="H49" s="29"/>
      <c r="I49" s="39" t="s">
        <v>106</v>
      </c>
      <c r="J49" s="54" t="s">
        <v>107</v>
      </c>
    </row>
    <row r="50" spans="1:12" s="1072" customFormat="1" ht="78.75" customHeight="1" x14ac:dyDescent="0.25">
      <c r="A50" s="1263"/>
      <c r="B50" s="1069"/>
      <c r="C50" s="356" t="s">
        <v>122</v>
      </c>
      <c r="D50" s="1069" t="s">
        <v>123</v>
      </c>
      <c r="E50" s="1075" t="s">
        <v>124</v>
      </c>
      <c r="F50" s="309"/>
      <c r="G50" s="309"/>
      <c r="H50" s="309"/>
      <c r="I50" s="309"/>
      <c r="J50" s="1080" t="s">
        <v>125</v>
      </c>
      <c r="L50" s="1264"/>
    </row>
    <row r="51" spans="1:12" s="1072" customFormat="1" ht="150" customHeight="1" x14ac:dyDescent="0.25">
      <c r="A51" s="1263" t="s">
        <v>126</v>
      </c>
      <c r="B51" s="1069" t="s">
        <v>127</v>
      </c>
      <c r="C51" s="1265" t="s">
        <v>128</v>
      </c>
      <c r="D51" s="1075" t="s">
        <v>129</v>
      </c>
      <c r="E51" s="1075" t="s">
        <v>130</v>
      </c>
      <c r="F51" s="309"/>
      <c r="G51" s="309"/>
      <c r="H51" s="309"/>
      <c r="I51" s="309"/>
      <c r="J51" s="1080" t="s">
        <v>125</v>
      </c>
    </row>
    <row r="52" spans="1:12" s="1072" customFormat="1" ht="162.75" customHeight="1" x14ac:dyDescent="0.25">
      <c r="A52" s="1068"/>
      <c r="B52" s="1068"/>
      <c r="C52" s="1265" t="s">
        <v>131</v>
      </c>
      <c r="D52" s="1069" t="s">
        <v>132</v>
      </c>
      <c r="E52" s="1075" t="s">
        <v>133</v>
      </c>
      <c r="F52" s="309"/>
      <c r="G52" s="309"/>
      <c r="H52" s="309"/>
      <c r="I52" s="309"/>
      <c r="J52" s="1080" t="s">
        <v>125</v>
      </c>
    </row>
    <row r="53" spans="1:12" s="1072" customFormat="1" ht="146.25" customHeight="1" x14ac:dyDescent="0.25">
      <c r="A53" s="1069"/>
      <c r="B53" s="1069"/>
      <c r="C53" s="356" t="s">
        <v>134</v>
      </c>
      <c r="D53" s="1069" t="s">
        <v>135</v>
      </c>
      <c r="E53" s="1075" t="s">
        <v>136</v>
      </c>
      <c r="F53" s="309"/>
      <c r="G53" s="309"/>
      <c r="H53" s="309"/>
      <c r="I53" s="309"/>
      <c r="J53" s="1080" t="s">
        <v>125</v>
      </c>
    </row>
    <row r="54" spans="1:12" ht="123.75" customHeight="1" x14ac:dyDescent="0.25">
      <c r="A54" s="44" t="s">
        <v>137</v>
      </c>
      <c r="B54" s="22" t="s">
        <v>138</v>
      </c>
      <c r="C54" s="21" t="s">
        <v>139</v>
      </c>
      <c r="D54" s="22" t="s">
        <v>140</v>
      </c>
      <c r="E54" s="62" t="s">
        <v>141</v>
      </c>
      <c r="F54" s="63">
        <v>0</v>
      </c>
      <c r="G54" s="63">
        <v>0</v>
      </c>
      <c r="H54" s="21" t="s">
        <v>142</v>
      </c>
      <c r="I54" s="33" t="s">
        <v>143</v>
      </c>
      <c r="J54" s="33" t="s">
        <v>144</v>
      </c>
    </row>
    <row r="55" spans="1:12" ht="207.75" customHeight="1" x14ac:dyDescent="0.25">
      <c r="A55" s="29"/>
      <c r="B55" s="29"/>
      <c r="C55" s="21"/>
      <c r="D55" s="22"/>
      <c r="E55" s="62" t="s">
        <v>145</v>
      </c>
      <c r="F55" s="64">
        <v>0</v>
      </c>
      <c r="G55" s="65">
        <v>0</v>
      </c>
      <c r="H55" s="26"/>
      <c r="I55" s="33" t="s">
        <v>143</v>
      </c>
      <c r="J55" s="33" t="s">
        <v>144</v>
      </c>
    </row>
    <row r="56" spans="1:12" ht="114" customHeight="1" x14ac:dyDescent="0.25">
      <c r="A56" s="29"/>
      <c r="B56" s="29"/>
      <c r="C56" s="21"/>
      <c r="D56" s="22"/>
      <c r="E56" s="62" t="s">
        <v>146</v>
      </c>
      <c r="F56" s="64">
        <v>0</v>
      </c>
      <c r="G56" s="64">
        <v>0.45</v>
      </c>
      <c r="H56" s="26" t="s">
        <v>147</v>
      </c>
      <c r="I56" s="33" t="s">
        <v>143</v>
      </c>
      <c r="J56" s="33" t="s">
        <v>144</v>
      </c>
    </row>
    <row r="57" spans="1:12" ht="112.5" customHeight="1" x14ac:dyDescent="0.25">
      <c r="A57" s="66"/>
      <c r="B57" s="66"/>
      <c r="C57" s="26"/>
      <c r="D57" s="26"/>
      <c r="E57" s="62" t="s">
        <v>148</v>
      </c>
      <c r="F57" s="65">
        <v>0.25</v>
      </c>
      <c r="G57" s="65">
        <v>0.5</v>
      </c>
      <c r="H57" s="26"/>
      <c r="I57" s="33" t="s">
        <v>143</v>
      </c>
      <c r="J57" s="33" t="s">
        <v>144</v>
      </c>
    </row>
    <row r="58" spans="1:12" ht="121.5" customHeight="1" x14ac:dyDescent="0.25">
      <c r="A58" s="66"/>
      <c r="B58" s="66"/>
      <c r="C58" s="26"/>
      <c r="D58" s="26"/>
      <c r="E58" s="62" t="s">
        <v>149</v>
      </c>
      <c r="F58" s="65">
        <v>0.25</v>
      </c>
      <c r="G58" s="65">
        <v>0.5</v>
      </c>
      <c r="H58" s="21" t="s">
        <v>150</v>
      </c>
      <c r="I58" s="33" t="s">
        <v>143</v>
      </c>
      <c r="J58" s="33" t="s">
        <v>144</v>
      </c>
    </row>
    <row r="59" spans="1:12" ht="147.75" customHeight="1" x14ac:dyDescent="0.25">
      <c r="A59" s="66"/>
      <c r="B59" s="66"/>
      <c r="C59" s="26"/>
      <c r="D59" s="26"/>
      <c r="E59" s="62" t="s">
        <v>151</v>
      </c>
      <c r="F59" s="65">
        <v>0.25</v>
      </c>
      <c r="G59" s="64">
        <f>146/156*100%</f>
        <v>0.9358974358974359</v>
      </c>
      <c r="H59" s="26" t="s">
        <v>152</v>
      </c>
      <c r="I59" s="33" t="s">
        <v>143</v>
      </c>
      <c r="J59" s="33" t="s">
        <v>144</v>
      </c>
    </row>
    <row r="60" spans="1:12" ht="110.25" customHeight="1" x14ac:dyDescent="0.25">
      <c r="A60" s="67"/>
      <c r="B60" s="67"/>
      <c r="C60" s="21"/>
      <c r="D60" s="21"/>
      <c r="E60" s="62" t="s">
        <v>153</v>
      </c>
      <c r="F60" s="68">
        <v>0</v>
      </c>
      <c r="G60" s="68" t="s">
        <v>154</v>
      </c>
      <c r="H60" s="21"/>
      <c r="I60" s="33" t="s">
        <v>143</v>
      </c>
      <c r="J60" s="33" t="s">
        <v>144</v>
      </c>
    </row>
    <row r="61" spans="1:12" ht="88.5" customHeight="1" x14ac:dyDescent="0.25">
      <c r="A61" s="69"/>
      <c r="B61" s="69"/>
      <c r="C61" s="26"/>
      <c r="D61" s="26"/>
      <c r="E61" s="70" t="s">
        <v>155</v>
      </c>
      <c r="F61" s="68" t="s">
        <v>156</v>
      </c>
      <c r="G61" s="68" t="s">
        <v>157</v>
      </c>
      <c r="H61" s="29"/>
      <c r="I61" s="33" t="s">
        <v>143</v>
      </c>
      <c r="J61" s="33" t="s">
        <v>144</v>
      </c>
    </row>
    <row r="62" spans="1:12" ht="157.5" customHeight="1" x14ac:dyDescent="0.25">
      <c r="A62" s="69"/>
      <c r="B62" s="69"/>
      <c r="C62" s="26"/>
      <c r="D62" s="26"/>
      <c r="E62" s="70" t="s">
        <v>158</v>
      </c>
      <c r="F62" s="68" t="s">
        <v>159</v>
      </c>
      <c r="G62" s="68" t="s">
        <v>160</v>
      </c>
      <c r="H62" s="29"/>
      <c r="I62" s="33" t="s">
        <v>143</v>
      </c>
      <c r="J62" s="33" t="s">
        <v>144</v>
      </c>
    </row>
    <row r="63" spans="1:12" ht="131.25" customHeight="1" x14ac:dyDescent="0.25">
      <c r="A63" s="69"/>
      <c r="B63" s="69"/>
      <c r="C63" s="26"/>
      <c r="D63" s="26"/>
      <c r="E63" s="71" t="s">
        <v>161</v>
      </c>
      <c r="F63" s="68">
        <v>0</v>
      </c>
      <c r="G63" s="68" t="s">
        <v>160</v>
      </c>
      <c r="H63" s="29"/>
      <c r="I63" s="33" t="s">
        <v>143</v>
      </c>
      <c r="J63" s="33" t="s">
        <v>144</v>
      </c>
    </row>
    <row r="64" spans="1:12" ht="143.25" customHeight="1" x14ac:dyDescent="0.25">
      <c r="A64" s="72"/>
      <c r="B64" s="72"/>
      <c r="C64" s="21"/>
      <c r="D64" s="21"/>
      <c r="E64" s="71" t="s">
        <v>162</v>
      </c>
      <c r="F64" s="68">
        <v>0</v>
      </c>
      <c r="G64" s="68" t="s">
        <v>160</v>
      </c>
      <c r="H64" s="29"/>
      <c r="I64" s="33" t="s">
        <v>143</v>
      </c>
      <c r="J64" s="33" t="s">
        <v>144</v>
      </c>
    </row>
    <row r="65" spans="1:12" ht="108.75" customHeight="1" x14ac:dyDescent="0.25">
      <c r="A65" s="66"/>
      <c r="B65" s="66"/>
      <c r="C65" s="26"/>
      <c r="D65" s="26"/>
      <c r="E65" s="71" t="s">
        <v>163</v>
      </c>
      <c r="F65" s="68">
        <v>0</v>
      </c>
      <c r="G65" s="73">
        <v>0</v>
      </c>
      <c r="H65" s="29"/>
      <c r="I65" s="33" t="s">
        <v>143</v>
      </c>
      <c r="J65" s="33" t="s">
        <v>144</v>
      </c>
    </row>
    <row r="66" spans="1:12" ht="99.75" customHeight="1" x14ac:dyDescent="0.25">
      <c r="A66" s="44" t="s">
        <v>164</v>
      </c>
      <c r="B66" s="74" t="s">
        <v>165</v>
      </c>
      <c r="C66" s="36" t="s">
        <v>166</v>
      </c>
      <c r="D66" s="75" t="s">
        <v>167</v>
      </c>
      <c r="E66" s="70" t="s">
        <v>168</v>
      </c>
      <c r="F66" s="68">
        <v>0</v>
      </c>
      <c r="G66" s="68" t="s">
        <v>169</v>
      </c>
      <c r="H66" s="29"/>
      <c r="I66" s="33" t="s">
        <v>143</v>
      </c>
      <c r="J66" s="33" t="s">
        <v>144</v>
      </c>
    </row>
    <row r="67" spans="1:12" ht="114" customHeight="1" x14ac:dyDescent="0.25">
      <c r="A67" s="74"/>
      <c r="B67" s="74"/>
      <c r="C67" s="36"/>
      <c r="D67" s="27" t="s">
        <v>170</v>
      </c>
      <c r="E67" s="76" t="s">
        <v>171</v>
      </c>
      <c r="F67" s="77" t="s">
        <v>172</v>
      </c>
      <c r="G67" s="78" t="s">
        <v>173</v>
      </c>
      <c r="H67" s="36" t="s">
        <v>174</v>
      </c>
      <c r="I67" s="79" t="s">
        <v>175</v>
      </c>
      <c r="J67" s="79" t="s">
        <v>144</v>
      </c>
    </row>
    <row r="68" spans="1:12" ht="88.5" customHeight="1" x14ac:dyDescent="0.25">
      <c r="A68" s="74"/>
      <c r="B68" s="74"/>
      <c r="C68" s="36"/>
      <c r="D68" s="27"/>
      <c r="E68" s="70" t="s">
        <v>176</v>
      </c>
      <c r="F68" s="68">
        <v>0</v>
      </c>
      <c r="G68" s="73">
        <v>0</v>
      </c>
      <c r="H68" s="21" t="s">
        <v>177</v>
      </c>
      <c r="I68" s="33" t="s">
        <v>175</v>
      </c>
      <c r="J68" s="33" t="s">
        <v>144</v>
      </c>
    </row>
    <row r="69" spans="1:12" ht="121.5" customHeight="1" x14ac:dyDescent="0.25">
      <c r="A69" s="80"/>
      <c r="B69" s="80"/>
      <c r="C69" s="26"/>
      <c r="D69" s="26"/>
      <c r="E69" s="70" t="s">
        <v>178</v>
      </c>
      <c r="F69" s="68">
        <v>0</v>
      </c>
      <c r="G69" s="73">
        <v>0</v>
      </c>
      <c r="H69" s="26" t="s">
        <v>179</v>
      </c>
      <c r="I69" s="33" t="s">
        <v>175</v>
      </c>
      <c r="J69" s="33" t="s">
        <v>144</v>
      </c>
    </row>
    <row r="70" spans="1:12" ht="137.25" customHeight="1" x14ac:dyDescent="0.25">
      <c r="A70" s="66"/>
      <c r="B70" s="66"/>
      <c r="C70" s="26"/>
      <c r="D70" s="26"/>
      <c r="E70" s="70" t="s">
        <v>180</v>
      </c>
      <c r="F70" s="68" t="s">
        <v>181</v>
      </c>
      <c r="G70" s="68" t="s">
        <v>182</v>
      </c>
      <c r="H70" s="26"/>
      <c r="I70" s="33" t="s">
        <v>175</v>
      </c>
      <c r="J70" s="33" t="s">
        <v>144</v>
      </c>
    </row>
    <row r="71" spans="1:12" ht="98.25" customHeight="1" x14ac:dyDescent="0.25">
      <c r="A71" s="66"/>
      <c r="B71" s="66"/>
      <c r="C71" s="26"/>
      <c r="D71" s="26"/>
      <c r="E71" s="70" t="s">
        <v>183</v>
      </c>
      <c r="F71" s="68" t="s">
        <v>184</v>
      </c>
      <c r="G71" s="68" t="s">
        <v>185</v>
      </c>
      <c r="H71" s="26"/>
      <c r="I71" s="33" t="s">
        <v>175</v>
      </c>
      <c r="J71" s="33" t="s">
        <v>144</v>
      </c>
    </row>
    <row r="72" spans="1:12" ht="75.75" customHeight="1" x14ac:dyDescent="0.25">
      <c r="A72" s="66"/>
      <c r="B72" s="66"/>
      <c r="C72" s="26"/>
      <c r="D72" s="26"/>
      <c r="E72" s="70" t="s">
        <v>186</v>
      </c>
      <c r="F72" s="68">
        <v>0</v>
      </c>
      <c r="G72" s="73" t="s">
        <v>187</v>
      </c>
      <c r="H72" s="26" t="s">
        <v>188</v>
      </c>
      <c r="I72" s="33" t="s">
        <v>175</v>
      </c>
      <c r="J72" s="33" t="s">
        <v>144</v>
      </c>
    </row>
    <row r="73" spans="1:12" ht="53.25" customHeight="1" x14ac:dyDescent="0.25">
      <c r="A73" s="66"/>
      <c r="B73" s="66"/>
      <c r="C73" s="26"/>
      <c r="D73" s="26"/>
      <c r="E73" s="70" t="s">
        <v>189</v>
      </c>
      <c r="F73" s="68" t="s">
        <v>173</v>
      </c>
      <c r="G73" s="73" t="s">
        <v>190</v>
      </c>
      <c r="H73" s="26"/>
      <c r="I73" s="33" t="s">
        <v>175</v>
      </c>
      <c r="J73" s="33" t="s">
        <v>144</v>
      </c>
    </row>
    <row r="74" spans="1:12" ht="87.75" customHeight="1" x14ac:dyDescent="0.25">
      <c r="A74" s="20"/>
      <c r="B74" s="20"/>
      <c r="C74" s="61"/>
      <c r="D74" s="27"/>
      <c r="E74" s="30" t="s">
        <v>191</v>
      </c>
      <c r="F74" s="109" t="s">
        <v>1807</v>
      </c>
      <c r="G74" s="109" t="s">
        <v>1808</v>
      </c>
      <c r="H74" s="206" t="s">
        <v>1809</v>
      </c>
      <c r="I74" s="109" t="s">
        <v>849</v>
      </c>
      <c r="J74" s="32" t="s">
        <v>192</v>
      </c>
    </row>
    <row r="75" spans="1:12" s="18" customFormat="1" ht="34.5" customHeight="1" x14ac:dyDescent="0.25">
      <c r="A75" s="16" t="s">
        <v>193</v>
      </c>
      <c r="B75" s="1397" t="s">
        <v>194</v>
      </c>
      <c r="C75" s="1398"/>
      <c r="D75" s="1398"/>
      <c r="E75" s="1398"/>
      <c r="F75" s="1398"/>
      <c r="G75" s="1398"/>
      <c r="H75" s="1398"/>
      <c r="I75" s="1398"/>
      <c r="J75" s="1398"/>
      <c r="K75" s="17"/>
    </row>
    <row r="76" spans="1:12" ht="75" customHeight="1" x14ac:dyDescent="0.25">
      <c r="A76" s="82" t="s">
        <v>195</v>
      </c>
      <c r="B76" s="82" t="s">
        <v>196</v>
      </c>
      <c r="C76" s="21" t="s">
        <v>197</v>
      </c>
      <c r="D76" s="61" t="s">
        <v>198</v>
      </c>
      <c r="E76" s="83" t="s">
        <v>199</v>
      </c>
      <c r="F76" s="309"/>
      <c r="G76" s="309"/>
      <c r="H76" s="309"/>
      <c r="I76" s="123" t="s">
        <v>220</v>
      </c>
      <c r="J76" s="123" t="s">
        <v>200</v>
      </c>
    </row>
    <row r="77" spans="1:12" ht="56.25" customHeight="1" x14ac:dyDescent="0.25">
      <c r="A77" s="20"/>
      <c r="B77" s="20"/>
      <c r="C77" s="22" t="s">
        <v>201</v>
      </c>
      <c r="D77" s="22" t="s">
        <v>202</v>
      </c>
      <c r="E77" s="27" t="s">
        <v>203</v>
      </c>
      <c r="F77" s="85">
        <v>0.85</v>
      </c>
      <c r="G77" s="34">
        <v>0.9</v>
      </c>
      <c r="H77" s="22" t="s">
        <v>204</v>
      </c>
      <c r="I77" s="33" t="s">
        <v>205</v>
      </c>
      <c r="J77" s="39" t="s">
        <v>94</v>
      </c>
      <c r="L77" s="28"/>
    </row>
    <row r="78" spans="1:12" ht="66.75" customHeight="1" x14ac:dyDescent="0.25">
      <c r="A78" s="82"/>
      <c r="B78" s="82"/>
      <c r="C78" s="21" t="s">
        <v>206</v>
      </c>
      <c r="D78" s="21" t="s">
        <v>207</v>
      </c>
      <c r="E78" s="86" t="s">
        <v>208</v>
      </c>
      <c r="F78" s="87" t="s">
        <v>209</v>
      </c>
      <c r="G78" s="33" t="s">
        <v>210</v>
      </c>
      <c r="H78" s="1431" t="s">
        <v>211</v>
      </c>
      <c r="I78" s="39" t="s">
        <v>212</v>
      </c>
      <c r="J78" s="88" t="s">
        <v>200</v>
      </c>
    </row>
    <row r="79" spans="1:12" ht="39.75" customHeight="1" x14ac:dyDescent="0.25">
      <c r="A79" s="82"/>
      <c r="B79" s="82"/>
      <c r="C79" s="89"/>
      <c r="D79" s="89"/>
      <c r="E79" s="61" t="s">
        <v>213</v>
      </c>
      <c r="F79" s="90"/>
      <c r="G79" s="90"/>
      <c r="H79" s="1432"/>
      <c r="I79" s="91" t="s">
        <v>212</v>
      </c>
      <c r="J79" s="92" t="s">
        <v>200</v>
      </c>
    </row>
    <row r="80" spans="1:12" ht="69.75" customHeight="1" x14ac:dyDescent="0.25">
      <c r="A80" s="82"/>
      <c r="B80" s="82"/>
      <c r="C80" s="21" t="s">
        <v>214</v>
      </c>
      <c r="D80" s="21" t="s">
        <v>215</v>
      </c>
      <c r="E80" s="86" t="s">
        <v>216</v>
      </c>
      <c r="F80" s="93" t="s">
        <v>217</v>
      </c>
      <c r="G80" s="87" t="s">
        <v>218</v>
      </c>
      <c r="H80" s="83" t="s">
        <v>219</v>
      </c>
      <c r="I80" s="32" t="s">
        <v>220</v>
      </c>
      <c r="J80" s="88" t="s">
        <v>200</v>
      </c>
    </row>
    <row r="81" spans="1:12" ht="75.75" customHeight="1" x14ac:dyDescent="0.25">
      <c r="A81" s="20"/>
      <c r="B81" s="20"/>
      <c r="C81" s="22" t="s">
        <v>221</v>
      </c>
      <c r="D81" s="21" t="s">
        <v>198</v>
      </c>
      <c r="E81" s="27" t="s">
        <v>222</v>
      </c>
      <c r="F81" s="1377"/>
      <c r="G81" s="1378"/>
      <c r="H81" s="22"/>
      <c r="I81" s="33"/>
      <c r="J81" s="39"/>
      <c r="L81" s="28"/>
    </row>
    <row r="82" spans="1:12" ht="54.75" customHeight="1" x14ac:dyDescent="0.25">
      <c r="A82" s="20"/>
      <c r="B82" s="20"/>
      <c r="C82" s="29"/>
      <c r="D82" s="26"/>
      <c r="E82" s="94" t="s">
        <v>223</v>
      </c>
      <c r="F82" s="108" t="s">
        <v>1800</v>
      </c>
      <c r="G82" s="108" t="s">
        <v>1800</v>
      </c>
      <c r="H82" s="190" t="s">
        <v>91</v>
      </c>
      <c r="I82" s="99" t="s">
        <v>92</v>
      </c>
      <c r="J82" s="99" t="s">
        <v>94</v>
      </c>
      <c r="L82" s="28"/>
    </row>
    <row r="83" spans="1:12" ht="53.25" customHeight="1" x14ac:dyDescent="0.25">
      <c r="A83" s="20"/>
      <c r="B83" s="20"/>
      <c r="C83" s="29"/>
      <c r="D83" s="26"/>
      <c r="E83" s="95" t="s">
        <v>224</v>
      </c>
      <c r="F83" s="108" t="s">
        <v>1801</v>
      </c>
      <c r="G83" s="108" t="s">
        <v>1802</v>
      </c>
      <c r="H83" s="206" t="s">
        <v>95</v>
      </c>
      <c r="I83" s="99" t="s">
        <v>92</v>
      </c>
      <c r="J83" s="99" t="s">
        <v>94</v>
      </c>
      <c r="L83" s="28"/>
    </row>
    <row r="84" spans="1:12" ht="43.5" customHeight="1" x14ac:dyDescent="0.25">
      <c r="A84" s="20"/>
      <c r="B84" s="20"/>
      <c r="C84" s="29"/>
      <c r="D84" s="26"/>
      <c r="E84" s="94" t="s">
        <v>225</v>
      </c>
      <c r="F84" s="108" t="s">
        <v>1801</v>
      </c>
      <c r="G84" s="108" t="s">
        <v>1803</v>
      </c>
      <c r="H84" s="1335" t="s">
        <v>96</v>
      </c>
      <c r="I84" s="99" t="s">
        <v>92</v>
      </c>
      <c r="J84" s="99" t="s">
        <v>94</v>
      </c>
      <c r="L84" s="28"/>
    </row>
    <row r="85" spans="1:12" ht="27" customHeight="1" x14ac:dyDescent="0.25">
      <c r="A85" s="20"/>
      <c r="B85" s="20"/>
      <c r="C85" s="29"/>
      <c r="D85" s="26"/>
      <c r="E85" s="94" t="s">
        <v>226</v>
      </c>
      <c r="F85" s="108" t="s">
        <v>1801</v>
      </c>
      <c r="G85" s="108" t="s">
        <v>1804</v>
      </c>
      <c r="H85" s="1336"/>
      <c r="I85" s="164" t="s">
        <v>92</v>
      </c>
      <c r="J85" s="39" t="s">
        <v>94</v>
      </c>
      <c r="L85" s="28"/>
    </row>
    <row r="86" spans="1:12" ht="72" customHeight="1" x14ac:dyDescent="0.25">
      <c r="A86" s="82"/>
      <c r="B86" s="82"/>
      <c r="C86" s="21"/>
      <c r="D86" s="21"/>
      <c r="E86" s="96" t="s">
        <v>227</v>
      </c>
      <c r="F86" s="1415"/>
      <c r="G86" s="1415"/>
      <c r="H86" s="1432" t="s">
        <v>228</v>
      </c>
      <c r="I86" s="1350" t="s">
        <v>229</v>
      </c>
      <c r="J86" s="1417" t="s">
        <v>200</v>
      </c>
    </row>
    <row r="87" spans="1:12" ht="27" customHeight="1" x14ac:dyDescent="0.25">
      <c r="A87" s="82"/>
      <c r="B87" s="82"/>
      <c r="C87" s="21"/>
      <c r="D87" s="21"/>
      <c r="E87" s="61" t="s">
        <v>230</v>
      </c>
      <c r="F87" s="97" t="s">
        <v>231</v>
      </c>
      <c r="G87" s="98" t="s">
        <v>232</v>
      </c>
      <c r="H87" s="1433"/>
      <c r="I87" s="1369"/>
      <c r="J87" s="1414"/>
    </row>
    <row r="88" spans="1:12" ht="22.5" customHeight="1" x14ac:dyDescent="0.25">
      <c r="A88" s="82"/>
      <c r="B88" s="82"/>
      <c r="C88" s="21"/>
      <c r="D88" s="21"/>
      <c r="E88" s="61" t="s">
        <v>233</v>
      </c>
      <c r="F88" s="87" t="s">
        <v>234</v>
      </c>
      <c r="G88" s="33" t="s">
        <v>235</v>
      </c>
      <c r="H88" s="1433"/>
      <c r="I88" s="1369"/>
      <c r="J88" s="1414"/>
    </row>
    <row r="89" spans="1:12" ht="28.5" customHeight="1" x14ac:dyDescent="0.25">
      <c r="A89" s="82"/>
      <c r="B89" s="82"/>
      <c r="C89" s="21"/>
      <c r="D89" s="21"/>
      <c r="E89" s="100" t="s">
        <v>236</v>
      </c>
      <c r="F89" s="87" t="s">
        <v>217</v>
      </c>
      <c r="G89" s="33" t="s">
        <v>237</v>
      </c>
      <c r="H89" s="1433"/>
      <c r="I89" s="1369"/>
      <c r="J89" s="1414"/>
    </row>
    <row r="90" spans="1:12" ht="62.25" customHeight="1" x14ac:dyDescent="0.25">
      <c r="A90" s="20"/>
      <c r="B90" s="20"/>
      <c r="C90" s="29"/>
      <c r="D90" s="26"/>
      <c r="E90" s="27" t="s">
        <v>238</v>
      </c>
      <c r="F90" s="1418"/>
      <c r="G90" s="1418"/>
      <c r="H90" s="27" t="s">
        <v>239</v>
      </c>
      <c r="I90" s="33" t="s">
        <v>205</v>
      </c>
      <c r="J90" s="39" t="s">
        <v>94</v>
      </c>
      <c r="L90" s="28"/>
    </row>
    <row r="91" spans="1:12" s="103" customFormat="1" ht="45" customHeight="1" x14ac:dyDescent="0.25">
      <c r="A91" s="20"/>
      <c r="B91" s="20"/>
      <c r="C91" s="29"/>
      <c r="D91" s="26"/>
      <c r="E91" s="101" t="s">
        <v>240</v>
      </c>
      <c r="F91" s="102" t="s">
        <v>241</v>
      </c>
      <c r="G91" s="33" t="s">
        <v>242</v>
      </c>
      <c r="H91" s="61"/>
      <c r="I91" s="33"/>
      <c r="J91" s="33" t="s">
        <v>94</v>
      </c>
      <c r="L91" s="104"/>
    </row>
    <row r="92" spans="1:12" ht="39" customHeight="1" x14ac:dyDescent="0.25">
      <c r="A92" s="20"/>
      <c r="B92" s="20"/>
      <c r="C92" s="29"/>
      <c r="D92" s="26"/>
      <c r="E92" s="105" t="s">
        <v>243</v>
      </c>
      <c r="F92" s="106" t="s">
        <v>244</v>
      </c>
      <c r="G92" s="39" t="s">
        <v>245</v>
      </c>
      <c r="H92" s="29"/>
      <c r="I92" s="39" t="s">
        <v>205</v>
      </c>
      <c r="J92" s="39" t="s">
        <v>94</v>
      </c>
      <c r="L92" s="28"/>
    </row>
    <row r="93" spans="1:12" ht="75" customHeight="1" x14ac:dyDescent="0.25">
      <c r="A93" s="82"/>
      <c r="B93" s="82"/>
      <c r="C93" s="21"/>
      <c r="D93" s="21"/>
      <c r="E93" s="107" t="s">
        <v>246</v>
      </c>
      <c r="F93" s="1413"/>
      <c r="G93" s="1413"/>
      <c r="H93" s="1433" t="s">
        <v>247</v>
      </c>
      <c r="I93" s="1363" t="s">
        <v>220</v>
      </c>
      <c r="J93" s="1414" t="s">
        <v>200</v>
      </c>
    </row>
    <row r="94" spans="1:12" ht="29.25" customHeight="1" x14ac:dyDescent="0.25">
      <c r="A94" s="82"/>
      <c r="B94" s="82"/>
      <c r="C94" s="21"/>
      <c r="D94" s="21"/>
      <c r="E94" s="107" t="s">
        <v>248</v>
      </c>
      <c r="F94" s="33" t="s">
        <v>249</v>
      </c>
      <c r="G94" s="110" t="s">
        <v>250</v>
      </c>
      <c r="H94" s="1433"/>
      <c r="I94" s="1363"/>
      <c r="J94" s="1414"/>
    </row>
    <row r="95" spans="1:12" ht="26.25" customHeight="1" x14ac:dyDescent="0.25">
      <c r="A95" s="82"/>
      <c r="B95" s="82"/>
      <c r="C95" s="21"/>
      <c r="D95" s="21"/>
      <c r="E95" s="100" t="s">
        <v>251</v>
      </c>
      <c r="F95" s="87" t="s">
        <v>252</v>
      </c>
      <c r="G95" s="110" t="s">
        <v>253</v>
      </c>
      <c r="H95" s="1433"/>
      <c r="I95" s="1363"/>
      <c r="J95" s="1414"/>
    </row>
    <row r="96" spans="1:12" ht="26.25" customHeight="1" x14ac:dyDescent="0.25">
      <c r="A96" s="82"/>
      <c r="B96" s="82"/>
      <c r="C96" s="21"/>
      <c r="D96" s="21"/>
      <c r="E96" s="100" t="s">
        <v>254</v>
      </c>
      <c r="F96" s="87" t="s">
        <v>255</v>
      </c>
      <c r="G96" s="110" t="s">
        <v>256</v>
      </c>
      <c r="H96" s="1433"/>
      <c r="I96" s="1363"/>
      <c r="J96" s="1414"/>
    </row>
    <row r="97" spans="1:11" ht="37.5" customHeight="1" x14ac:dyDescent="0.25">
      <c r="A97" s="82"/>
      <c r="B97" s="82"/>
      <c r="C97" s="21"/>
      <c r="D97" s="21"/>
      <c r="E97" s="96" t="s">
        <v>257</v>
      </c>
      <c r="F97" s="1413"/>
      <c r="G97" s="1413"/>
      <c r="H97" s="1409" t="s">
        <v>258</v>
      </c>
      <c r="I97" s="1363" t="s">
        <v>220</v>
      </c>
      <c r="J97" s="1414" t="s">
        <v>200</v>
      </c>
    </row>
    <row r="98" spans="1:11" ht="27.75" customHeight="1" x14ac:dyDescent="0.25">
      <c r="A98" s="82"/>
      <c r="B98" s="82"/>
      <c r="C98" s="21"/>
      <c r="D98" s="21"/>
      <c r="E98" s="86" t="s">
        <v>259</v>
      </c>
      <c r="F98" s="87">
        <v>4.4249999999999998</v>
      </c>
      <c r="G98" s="33">
        <v>4570</v>
      </c>
      <c r="H98" s="1409"/>
      <c r="I98" s="1363"/>
      <c r="J98" s="1414"/>
    </row>
    <row r="99" spans="1:11" ht="29.25" customHeight="1" x14ac:dyDescent="0.25">
      <c r="A99" s="82"/>
      <c r="B99" s="82"/>
      <c r="C99" s="21"/>
      <c r="D99" s="21"/>
      <c r="E99" s="86" t="s">
        <v>260</v>
      </c>
      <c r="F99" s="87">
        <v>5.2430000000000003</v>
      </c>
      <c r="G99" s="33">
        <v>5548</v>
      </c>
      <c r="H99" s="1409"/>
      <c r="I99" s="1363"/>
      <c r="J99" s="1414"/>
    </row>
    <row r="100" spans="1:11" ht="30.75" customHeight="1" x14ac:dyDescent="0.25">
      <c r="A100" s="82"/>
      <c r="B100" s="82"/>
      <c r="C100" s="21"/>
      <c r="D100" s="21"/>
      <c r="E100" s="86" t="s">
        <v>261</v>
      </c>
      <c r="F100" s="87">
        <v>93.304000000000002</v>
      </c>
      <c r="G100" s="33">
        <v>103304</v>
      </c>
      <c r="H100" s="1409"/>
      <c r="I100" s="1363"/>
      <c r="J100" s="1414"/>
    </row>
    <row r="101" spans="1:11" ht="33" customHeight="1" x14ac:dyDescent="0.25">
      <c r="A101" s="82"/>
      <c r="B101" s="82"/>
      <c r="C101" s="21"/>
      <c r="D101" s="21"/>
      <c r="E101" s="100" t="s">
        <v>262</v>
      </c>
      <c r="F101" s="87">
        <v>5000</v>
      </c>
      <c r="G101" s="33">
        <v>15000</v>
      </c>
      <c r="H101" s="1409"/>
      <c r="I101" s="1363"/>
      <c r="J101" s="1414"/>
    </row>
    <row r="102" spans="1:11" ht="33" customHeight="1" x14ac:dyDescent="0.25">
      <c r="A102" s="82"/>
      <c r="B102" s="82"/>
      <c r="C102" s="21"/>
      <c r="D102" s="21"/>
      <c r="E102" s="100" t="s">
        <v>263</v>
      </c>
      <c r="F102" s="87"/>
      <c r="G102" s="33"/>
      <c r="H102" s="95"/>
      <c r="I102" s="32"/>
      <c r="J102" s="88"/>
    </row>
    <row r="103" spans="1:11" ht="62.25" customHeight="1" x14ac:dyDescent="0.25">
      <c r="A103" s="20"/>
      <c r="B103" s="20"/>
      <c r="C103" s="22"/>
      <c r="D103" s="27"/>
      <c r="E103" s="30" t="s">
        <v>264</v>
      </c>
      <c r="F103" s="85">
        <v>0.88</v>
      </c>
      <c r="G103" s="111">
        <v>1</v>
      </c>
      <c r="H103" s="30" t="s">
        <v>265</v>
      </c>
      <c r="I103" s="39" t="s">
        <v>220</v>
      </c>
      <c r="J103" s="32" t="s">
        <v>266</v>
      </c>
    </row>
    <row r="104" spans="1:11" ht="52.5" customHeight="1" x14ac:dyDescent="0.25">
      <c r="A104" s="20"/>
      <c r="B104" s="20"/>
      <c r="C104" s="22"/>
      <c r="D104" s="27"/>
      <c r="E104" s="30" t="s">
        <v>267</v>
      </c>
      <c r="F104" s="112" t="s">
        <v>268</v>
      </c>
      <c r="G104" s="111" t="s">
        <v>269</v>
      </c>
      <c r="H104" s="30" t="s">
        <v>270</v>
      </c>
      <c r="I104" s="39" t="s">
        <v>220</v>
      </c>
      <c r="J104" s="32" t="s">
        <v>266</v>
      </c>
    </row>
    <row r="105" spans="1:11" ht="58.5" customHeight="1" x14ac:dyDescent="0.25">
      <c r="A105" s="20"/>
      <c r="B105" s="20"/>
      <c r="C105" s="22"/>
      <c r="D105" s="27"/>
      <c r="E105" s="30" t="s">
        <v>271</v>
      </c>
      <c r="F105" s="85">
        <v>0.1</v>
      </c>
      <c r="G105" s="113">
        <v>0.7</v>
      </c>
      <c r="H105" s="114" t="s">
        <v>272</v>
      </c>
      <c r="I105" s="39" t="s">
        <v>220</v>
      </c>
      <c r="J105" s="32" t="s">
        <v>266</v>
      </c>
    </row>
    <row r="106" spans="1:11" ht="51.75" customHeight="1" x14ac:dyDescent="0.25">
      <c r="A106" s="20"/>
      <c r="B106" s="20"/>
      <c r="C106" s="22"/>
      <c r="D106" s="115"/>
      <c r="E106" s="30" t="s">
        <v>273</v>
      </c>
      <c r="F106" s="85">
        <v>0.78</v>
      </c>
      <c r="G106" s="111">
        <v>0.84</v>
      </c>
      <c r="H106" s="114" t="s">
        <v>274</v>
      </c>
      <c r="I106" s="39" t="s">
        <v>220</v>
      </c>
      <c r="J106" s="32" t="s">
        <v>266</v>
      </c>
    </row>
    <row r="107" spans="1:11" ht="83.25" customHeight="1" x14ac:dyDescent="0.25">
      <c r="A107" s="20"/>
      <c r="B107" s="20"/>
      <c r="C107" s="22"/>
      <c r="D107" s="115"/>
      <c r="E107" s="27" t="s">
        <v>275</v>
      </c>
      <c r="F107" s="85">
        <v>0.9</v>
      </c>
      <c r="G107" s="111">
        <v>0.96</v>
      </c>
      <c r="H107" s="116" t="s">
        <v>276</v>
      </c>
      <c r="I107" s="33" t="s">
        <v>229</v>
      </c>
      <c r="J107" s="32" t="s">
        <v>266</v>
      </c>
    </row>
    <row r="108" spans="1:11" ht="52.5" customHeight="1" x14ac:dyDescent="0.25">
      <c r="A108" s="20"/>
      <c r="B108" s="20"/>
      <c r="C108" s="115"/>
      <c r="D108" s="115"/>
      <c r="E108" s="27" t="s">
        <v>277</v>
      </c>
      <c r="F108" s="112" t="s">
        <v>278</v>
      </c>
      <c r="G108" s="117" t="s">
        <v>279</v>
      </c>
      <c r="H108" s="116"/>
      <c r="I108" s="33" t="s">
        <v>229</v>
      </c>
      <c r="J108" s="32" t="s">
        <v>266</v>
      </c>
      <c r="K108" s="118"/>
    </row>
    <row r="109" spans="1:11" ht="51.75" customHeight="1" x14ac:dyDescent="0.25">
      <c r="A109" s="20"/>
      <c r="B109" s="20"/>
      <c r="C109" s="115"/>
      <c r="D109" s="115"/>
      <c r="E109" s="27" t="s">
        <v>280</v>
      </c>
      <c r="F109" s="85">
        <v>0.3</v>
      </c>
      <c r="G109" s="111">
        <v>1</v>
      </c>
      <c r="H109" s="116"/>
      <c r="I109" s="33" t="s">
        <v>229</v>
      </c>
      <c r="J109" s="32" t="s">
        <v>266</v>
      </c>
      <c r="K109" s="118"/>
    </row>
    <row r="110" spans="1:11" ht="41.25" customHeight="1" x14ac:dyDescent="0.25">
      <c r="A110" s="82"/>
      <c r="B110" s="82"/>
      <c r="C110" s="21"/>
      <c r="D110" s="21"/>
      <c r="E110" s="119" t="s">
        <v>281</v>
      </c>
      <c r="F110" s="1407"/>
      <c r="G110" s="1408"/>
      <c r="H110" s="95"/>
      <c r="I110" s="32"/>
      <c r="J110" s="88"/>
    </row>
    <row r="111" spans="1:11" ht="79.5" customHeight="1" x14ac:dyDescent="0.25">
      <c r="A111" s="82"/>
      <c r="B111" s="82"/>
      <c r="C111" s="21"/>
      <c r="D111" s="21"/>
      <c r="E111" s="120" t="s">
        <v>282</v>
      </c>
      <c r="F111" s="121" t="s">
        <v>283</v>
      </c>
      <c r="G111" s="122" t="s">
        <v>284</v>
      </c>
      <c r="H111" s="95"/>
      <c r="I111" s="32" t="s">
        <v>220</v>
      </c>
      <c r="J111" s="88" t="s">
        <v>200</v>
      </c>
    </row>
    <row r="112" spans="1:11" ht="55.5" customHeight="1" x14ac:dyDescent="0.25">
      <c r="A112" s="82"/>
      <c r="B112" s="82"/>
      <c r="C112" s="21"/>
      <c r="D112" s="21"/>
      <c r="E112" s="120" t="s">
        <v>285</v>
      </c>
      <c r="F112" s="87" t="s">
        <v>286</v>
      </c>
      <c r="G112" s="87" t="s">
        <v>287</v>
      </c>
      <c r="H112" s="95"/>
      <c r="I112" s="39" t="s">
        <v>212</v>
      </c>
      <c r="J112" s="88" t="s">
        <v>200</v>
      </c>
    </row>
    <row r="113" spans="1:10" ht="54" customHeight="1" x14ac:dyDescent="0.25">
      <c r="A113" s="82"/>
      <c r="B113" s="82"/>
      <c r="C113" s="21"/>
      <c r="D113" s="21"/>
      <c r="E113" s="120" t="s">
        <v>288</v>
      </c>
      <c r="F113" s="87" t="s">
        <v>289</v>
      </c>
      <c r="G113" s="33" t="s">
        <v>290</v>
      </c>
      <c r="H113" s="95"/>
      <c r="I113" s="39" t="s">
        <v>212</v>
      </c>
      <c r="J113" s="88" t="s">
        <v>200</v>
      </c>
    </row>
    <row r="114" spans="1:10" ht="78.75" customHeight="1" x14ac:dyDescent="0.25">
      <c r="A114" s="82"/>
      <c r="B114" s="82"/>
      <c r="C114" s="21"/>
      <c r="D114" s="21"/>
      <c r="E114" s="120" t="s">
        <v>291</v>
      </c>
      <c r="F114" s="93" t="s">
        <v>217</v>
      </c>
      <c r="G114" s="33" t="s">
        <v>292</v>
      </c>
      <c r="H114" s="95"/>
      <c r="I114" s="32" t="s">
        <v>220</v>
      </c>
      <c r="J114" s="88" t="s">
        <v>200</v>
      </c>
    </row>
    <row r="115" spans="1:10" ht="66" customHeight="1" x14ac:dyDescent="0.25">
      <c r="A115" s="82"/>
      <c r="B115" s="82"/>
      <c r="C115" s="21"/>
      <c r="D115" s="21"/>
      <c r="E115" s="120" t="s">
        <v>293</v>
      </c>
      <c r="F115" s="87" t="s">
        <v>294</v>
      </c>
      <c r="G115" s="87" t="s">
        <v>295</v>
      </c>
      <c r="H115" s="95"/>
      <c r="I115" s="32" t="s">
        <v>220</v>
      </c>
      <c r="J115" s="88" t="s">
        <v>200</v>
      </c>
    </row>
    <row r="116" spans="1:10" ht="105" customHeight="1" x14ac:dyDescent="0.25">
      <c r="A116" s="20"/>
      <c r="B116" s="20"/>
      <c r="C116" s="29"/>
      <c r="D116" s="26"/>
      <c r="E116" s="27" t="s">
        <v>296</v>
      </c>
      <c r="F116" s="39" t="s">
        <v>297</v>
      </c>
      <c r="G116" s="39" t="s">
        <v>298</v>
      </c>
      <c r="H116" s="22" t="s">
        <v>299</v>
      </c>
      <c r="I116" s="39" t="s">
        <v>92</v>
      </c>
      <c r="J116" s="39" t="s">
        <v>94</v>
      </c>
    </row>
    <row r="117" spans="1:10" ht="50.25" customHeight="1" x14ac:dyDescent="0.25">
      <c r="A117" s="82"/>
      <c r="B117" s="82"/>
      <c r="C117" s="21"/>
      <c r="D117" s="21"/>
      <c r="E117" s="119" t="s">
        <v>300</v>
      </c>
      <c r="F117" s="1407"/>
      <c r="G117" s="1408"/>
      <c r="H117" s="95"/>
      <c r="I117" s="32"/>
      <c r="J117" s="88"/>
    </row>
    <row r="118" spans="1:10" ht="30.75" customHeight="1" x14ac:dyDescent="0.25">
      <c r="A118" s="82"/>
      <c r="B118" s="82"/>
      <c r="C118" s="21"/>
      <c r="D118" s="21"/>
      <c r="E118" s="119" t="s">
        <v>220</v>
      </c>
      <c r="F118" s="1407"/>
      <c r="G118" s="1408"/>
      <c r="H118" s="95"/>
      <c r="I118" s="32"/>
      <c r="J118" s="88"/>
    </row>
    <row r="119" spans="1:10" ht="60" customHeight="1" x14ac:dyDescent="0.25">
      <c r="A119" s="82"/>
      <c r="B119" s="82"/>
      <c r="C119" s="21"/>
      <c r="D119" s="21"/>
      <c r="E119" s="120" t="s">
        <v>301</v>
      </c>
      <c r="F119" s="87" t="s">
        <v>302</v>
      </c>
      <c r="G119" s="87" t="s">
        <v>303</v>
      </c>
      <c r="H119" s="95"/>
      <c r="I119" s="32" t="s">
        <v>220</v>
      </c>
      <c r="J119" s="88" t="s">
        <v>200</v>
      </c>
    </row>
    <row r="120" spans="1:10" ht="53.25" customHeight="1" x14ac:dyDescent="0.25">
      <c r="A120" s="82"/>
      <c r="B120" s="82"/>
      <c r="C120" s="21"/>
      <c r="D120" s="21"/>
      <c r="E120" s="120" t="s">
        <v>304</v>
      </c>
      <c r="F120" s="87" t="s">
        <v>305</v>
      </c>
      <c r="G120" s="87" t="s">
        <v>306</v>
      </c>
      <c r="H120" s="95"/>
      <c r="I120" s="32" t="s">
        <v>220</v>
      </c>
      <c r="J120" s="88" t="s">
        <v>200</v>
      </c>
    </row>
    <row r="121" spans="1:10" ht="40.5" customHeight="1" x14ac:dyDescent="0.25">
      <c r="A121" s="82"/>
      <c r="B121" s="82"/>
      <c r="C121" s="21"/>
      <c r="D121" s="21"/>
      <c r="E121" s="120" t="s">
        <v>307</v>
      </c>
      <c r="F121" s="87" t="s">
        <v>308</v>
      </c>
      <c r="G121" s="87" t="s">
        <v>309</v>
      </c>
      <c r="H121" s="95"/>
      <c r="I121" s="32" t="s">
        <v>220</v>
      </c>
      <c r="J121" s="88" t="s">
        <v>200</v>
      </c>
    </row>
    <row r="122" spans="1:10" ht="32.25" customHeight="1" x14ac:dyDescent="0.25">
      <c r="A122" s="82"/>
      <c r="B122" s="82"/>
      <c r="C122" s="21"/>
      <c r="D122" s="21"/>
      <c r="E122" s="119" t="s">
        <v>310</v>
      </c>
      <c r="F122" s="1407"/>
      <c r="G122" s="1408"/>
      <c r="H122" s="95"/>
      <c r="I122" s="32"/>
      <c r="J122" s="88"/>
    </row>
    <row r="123" spans="1:10" ht="35.25" customHeight="1" x14ac:dyDescent="0.25">
      <c r="A123" s="82"/>
      <c r="B123" s="82"/>
      <c r="C123" s="21"/>
      <c r="D123" s="21"/>
      <c r="E123" s="120" t="s">
        <v>311</v>
      </c>
      <c r="F123" s="93" t="s">
        <v>217</v>
      </c>
      <c r="G123" s="87" t="s">
        <v>312</v>
      </c>
      <c r="H123" s="95"/>
      <c r="I123" s="39" t="s">
        <v>212</v>
      </c>
      <c r="J123" s="88" t="s">
        <v>200</v>
      </c>
    </row>
    <row r="124" spans="1:10" ht="30.75" customHeight="1" x14ac:dyDescent="0.25">
      <c r="A124" s="82"/>
      <c r="B124" s="82"/>
      <c r="C124" s="21"/>
      <c r="D124" s="21"/>
      <c r="E124" s="119" t="s">
        <v>313</v>
      </c>
      <c r="F124" s="1407"/>
      <c r="G124" s="1408"/>
      <c r="H124" s="95"/>
      <c r="I124" s="32"/>
      <c r="J124" s="88"/>
    </row>
    <row r="125" spans="1:10" ht="77.25" customHeight="1" x14ac:dyDescent="0.25">
      <c r="A125" s="82"/>
      <c r="B125" s="82"/>
      <c r="C125" s="21"/>
      <c r="D125" s="61"/>
      <c r="E125" s="86" t="s">
        <v>314</v>
      </c>
      <c r="F125" s="123" t="s">
        <v>315</v>
      </c>
      <c r="G125" s="123" t="s">
        <v>316</v>
      </c>
      <c r="H125" s="84"/>
      <c r="I125" s="32" t="s">
        <v>220</v>
      </c>
      <c r="J125" s="88" t="s">
        <v>200</v>
      </c>
    </row>
    <row r="126" spans="1:10" ht="69.75" customHeight="1" x14ac:dyDescent="0.25">
      <c r="A126" s="20"/>
      <c r="B126" s="20"/>
      <c r="C126" s="29"/>
      <c r="D126" s="26"/>
      <c r="E126" s="27" t="s">
        <v>317</v>
      </c>
      <c r="F126" s="85" t="s">
        <v>217</v>
      </c>
      <c r="G126" s="39" t="s">
        <v>318</v>
      </c>
      <c r="H126" s="22"/>
      <c r="I126" s="32" t="s">
        <v>319</v>
      </c>
      <c r="J126" s="39" t="s">
        <v>94</v>
      </c>
    </row>
    <row r="127" spans="1:10" ht="78" customHeight="1" x14ac:dyDescent="0.25">
      <c r="A127" s="20"/>
      <c r="B127" s="20"/>
      <c r="C127" s="29"/>
      <c r="D127" s="26"/>
      <c r="E127" s="27" t="s">
        <v>320</v>
      </c>
      <c r="F127" s="85" t="s">
        <v>321</v>
      </c>
      <c r="G127" s="32" t="s">
        <v>322</v>
      </c>
      <c r="H127" s="29" t="s">
        <v>323</v>
      </c>
      <c r="I127" s="32" t="s">
        <v>319</v>
      </c>
      <c r="J127" s="39" t="s">
        <v>94</v>
      </c>
    </row>
    <row r="128" spans="1:10" ht="49.5" customHeight="1" x14ac:dyDescent="0.25">
      <c r="A128" s="20"/>
      <c r="B128" s="20"/>
      <c r="C128" s="29"/>
      <c r="D128" s="26"/>
      <c r="E128" s="61" t="s">
        <v>324</v>
      </c>
      <c r="F128" s="124" t="s">
        <v>325</v>
      </c>
      <c r="G128" s="32" t="s">
        <v>326</v>
      </c>
      <c r="H128" s="29"/>
      <c r="I128" s="32"/>
      <c r="J128" s="39" t="s">
        <v>266</v>
      </c>
    </row>
    <row r="129" spans="1:10" ht="105" customHeight="1" x14ac:dyDescent="0.25">
      <c r="A129" s="20"/>
      <c r="B129" s="20"/>
      <c r="C129" s="29"/>
      <c r="D129" s="26"/>
      <c r="E129" s="61" t="s">
        <v>327</v>
      </c>
      <c r="F129" s="85"/>
      <c r="G129" s="32"/>
      <c r="H129" s="29"/>
      <c r="I129" s="32"/>
      <c r="J129" s="39" t="s">
        <v>266</v>
      </c>
    </row>
    <row r="130" spans="1:10" ht="44.25" customHeight="1" x14ac:dyDescent="0.25">
      <c r="A130" s="20"/>
      <c r="B130" s="20"/>
      <c r="C130" s="29"/>
      <c r="D130" s="26"/>
      <c r="E130" s="125" t="s">
        <v>328</v>
      </c>
      <c r="F130" s="126">
        <v>0.26</v>
      </c>
      <c r="G130" s="126">
        <v>0.62</v>
      </c>
      <c r="H130" s="29"/>
      <c r="I130" s="32"/>
      <c r="J130" s="39" t="s">
        <v>266</v>
      </c>
    </row>
    <row r="131" spans="1:10" ht="69" customHeight="1" x14ac:dyDescent="0.25">
      <c r="A131" s="20"/>
      <c r="B131" s="20"/>
      <c r="C131" s="29"/>
      <c r="D131" s="26"/>
      <c r="E131" s="125" t="s">
        <v>329</v>
      </c>
      <c r="F131" s="126">
        <v>0.3</v>
      </c>
      <c r="G131" s="126">
        <v>0.6</v>
      </c>
      <c r="H131" s="29"/>
      <c r="I131" s="32"/>
      <c r="J131" s="39" t="s">
        <v>266</v>
      </c>
    </row>
    <row r="132" spans="1:10" ht="70.5" customHeight="1" x14ac:dyDescent="0.25">
      <c r="A132" s="20" t="s">
        <v>330</v>
      </c>
      <c r="B132" s="20" t="s">
        <v>331</v>
      </c>
      <c r="C132" s="21" t="s">
        <v>332</v>
      </c>
      <c r="D132" s="27" t="s">
        <v>333</v>
      </c>
      <c r="E132" s="30" t="s">
        <v>334</v>
      </c>
      <c r="F132" s="33" t="s">
        <v>335</v>
      </c>
      <c r="G132" s="33" t="s">
        <v>336</v>
      </c>
      <c r="H132" s="30" t="s">
        <v>337</v>
      </c>
      <c r="I132" s="32" t="s">
        <v>338</v>
      </c>
      <c r="J132" s="32" t="s">
        <v>339</v>
      </c>
    </row>
    <row r="133" spans="1:10" ht="51.75" customHeight="1" x14ac:dyDescent="0.25">
      <c r="A133" s="19"/>
      <c r="B133" s="19"/>
      <c r="C133" s="1409" t="s">
        <v>340</v>
      </c>
      <c r="D133" s="1434" t="s">
        <v>341</v>
      </c>
      <c r="E133" s="1411" t="s">
        <v>342</v>
      </c>
      <c r="F133" s="1412">
        <v>0.6</v>
      </c>
      <c r="G133" s="1412">
        <v>0.8</v>
      </c>
      <c r="H133" s="30" t="s">
        <v>343</v>
      </c>
      <c r="I133" s="32" t="s">
        <v>338</v>
      </c>
      <c r="J133" s="32" t="s">
        <v>339</v>
      </c>
    </row>
    <row r="134" spans="1:10" ht="57" customHeight="1" x14ac:dyDescent="0.25">
      <c r="A134" s="19"/>
      <c r="B134" s="19"/>
      <c r="C134" s="1409"/>
      <c r="D134" s="1434"/>
      <c r="E134" s="1411"/>
      <c r="F134" s="1412"/>
      <c r="G134" s="1412"/>
      <c r="H134" s="114" t="s">
        <v>344</v>
      </c>
      <c r="I134" s="32" t="s">
        <v>338</v>
      </c>
      <c r="J134" s="32" t="s">
        <v>339</v>
      </c>
    </row>
    <row r="135" spans="1:10" ht="74.25" customHeight="1" x14ac:dyDescent="0.25">
      <c r="A135" s="19"/>
      <c r="B135" s="19"/>
      <c r="C135" s="26" t="s">
        <v>345</v>
      </c>
      <c r="D135" s="29" t="s">
        <v>346</v>
      </c>
      <c r="E135" s="127" t="s">
        <v>347</v>
      </c>
      <c r="F135" s="128" t="s">
        <v>348</v>
      </c>
      <c r="G135" s="128" t="s">
        <v>349</v>
      </c>
      <c r="H135" s="22" t="s">
        <v>350</v>
      </c>
      <c r="I135" s="32" t="s">
        <v>338</v>
      </c>
      <c r="J135" s="32" t="s">
        <v>339</v>
      </c>
    </row>
    <row r="136" spans="1:10" ht="56.25" customHeight="1" x14ac:dyDescent="0.25">
      <c r="A136" s="19"/>
      <c r="B136" s="19"/>
      <c r="C136" s="26"/>
      <c r="D136" s="29"/>
      <c r="E136" s="127"/>
      <c r="F136" s="128"/>
      <c r="G136" s="128"/>
      <c r="H136" s="22" t="s">
        <v>351</v>
      </c>
      <c r="I136" s="32" t="s">
        <v>338</v>
      </c>
      <c r="J136" s="32" t="s">
        <v>339</v>
      </c>
    </row>
    <row r="137" spans="1:10" ht="64.5" customHeight="1" x14ac:dyDescent="0.25">
      <c r="A137" s="19"/>
      <c r="B137" s="19"/>
      <c r="C137" s="26"/>
      <c r="D137" s="29"/>
      <c r="E137" s="127"/>
      <c r="F137" s="128"/>
      <c r="G137" s="128"/>
      <c r="H137" s="30" t="s">
        <v>352</v>
      </c>
      <c r="I137" s="32" t="s">
        <v>353</v>
      </c>
      <c r="J137" s="32" t="s">
        <v>339</v>
      </c>
    </row>
    <row r="138" spans="1:10" ht="59.25" customHeight="1" x14ac:dyDescent="0.25">
      <c r="A138" s="20"/>
      <c r="B138" s="20"/>
      <c r="C138" s="1436"/>
      <c r="D138" s="1437"/>
      <c r="E138" s="1438"/>
      <c r="F138" s="1439"/>
      <c r="G138" s="1412"/>
      <c r="H138" s="30" t="s">
        <v>354</v>
      </c>
      <c r="I138" s="32" t="s">
        <v>353</v>
      </c>
      <c r="J138" s="32" t="s">
        <v>339</v>
      </c>
    </row>
    <row r="139" spans="1:10" ht="59.25" customHeight="1" x14ac:dyDescent="0.25">
      <c r="A139" s="20"/>
      <c r="B139" s="20"/>
      <c r="C139" s="1436"/>
      <c r="D139" s="1437"/>
      <c r="E139" s="1438"/>
      <c r="F139" s="1439"/>
      <c r="G139" s="1412"/>
      <c r="H139" s="30" t="s">
        <v>355</v>
      </c>
      <c r="I139" s="32" t="s">
        <v>353</v>
      </c>
      <c r="J139" s="32" t="s">
        <v>339</v>
      </c>
    </row>
    <row r="140" spans="1:10" s="18" customFormat="1" ht="57" customHeight="1" x14ac:dyDescent="0.25">
      <c r="A140" s="20"/>
      <c r="B140" s="20"/>
      <c r="C140" s="1436"/>
      <c r="D140" s="1437"/>
      <c r="E140" s="1438"/>
      <c r="F140" s="1439"/>
      <c r="G140" s="1412"/>
      <c r="H140" s="83" t="s">
        <v>356</v>
      </c>
      <c r="I140" s="87" t="s">
        <v>353</v>
      </c>
      <c r="J140" s="87" t="s">
        <v>339</v>
      </c>
    </row>
    <row r="141" spans="1:10" s="18" customFormat="1" ht="54" customHeight="1" x14ac:dyDescent="0.25">
      <c r="A141" s="82"/>
      <c r="B141" s="82"/>
      <c r="C141" s="21"/>
      <c r="D141" s="61"/>
      <c r="E141" s="83" t="s">
        <v>357</v>
      </c>
      <c r="F141" s="87" t="s">
        <v>358</v>
      </c>
      <c r="G141" s="87" t="s">
        <v>359</v>
      </c>
      <c r="H141" s="21" t="s">
        <v>354</v>
      </c>
      <c r="I141" s="87" t="s">
        <v>353</v>
      </c>
      <c r="J141" s="87" t="s">
        <v>360</v>
      </c>
    </row>
    <row r="142" spans="1:10" ht="84.75" customHeight="1" x14ac:dyDescent="0.25">
      <c r="A142" s="29"/>
      <c r="B142" s="29"/>
      <c r="C142" s="22" t="s">
        <v>361</v>
      </c>
      <c r="D142" s="22" t="s">
        <v>362</v>
      </c>
      <c r="E142" s="22" t="s">
        <v>363</v>
      </c>
      <c r="F142" s="129" t="s">
        <v>364</v>
      </c>
      <c r="G142" s="130" t="s">
        <v>365</v>
      </c>
      <c r="H142" s="41" t="s">
        <v>366</v>
      </c>
      <c r="I142" s="39" t="s">
        <v>367</v>
      </c>
      <c r="J142" s="39" t="s">
        <v>368</v>
      </c>
    </row>
    <row r="143" spans="1:10" ht="68.25" customHeight="1" x14ac:dyDescent="0.25">
      <c r="A143" s="29"/>
      <c r="B143" s="29"/>
      <c r="C143" s="29"/>
      <c r="D143" s="29"/>
      <c r="E143" s="22" t="s">
        <v>369</v>
      </c>
      <c r="F143" s="129" t="s">
        <v>370</v>
      </c>
      <c r="G143" s="129" t="s">
        <v>371</v>
      </c>
      <c r="H143" s="131" t="s">
        <v>372</v>
      </c>
      <c r="I143" s="39" t="s">
        <v>367</v>
      </c>
      <c r="J143" s="39" t="s">
        <v>368</v>
      </c>
    </row>
    <row r="144" spans="1:10" ht="99.75" customHeight="1" x14ac:dyDescent="0.25">
      <c r="A144" s="29"/>
      <c r="B144" s="29"/>
      <c r="C144" s="29"/>
      <c r="D144" s="29"/>
      <c r="E144" s="22" t="s">
        <v>373</v>
      </c>
      <c r="F144" s="129" t="s">
        <v>374</v>
      </c>
      <c r="G144" s="129" t="s">
        <v>375</v>
      </c>
      <c r="H144" s="41" t="s">
        <v>376</v>
      </c>
      <c r="I144" s="39" t="s">
        <v>367</v>
      </c>
      <c r="J144" s="39" t="s">
        <v>368</v>
      </c>
    </row>
    <row r="145" spans="1:12" ht="53.25" customHeight="1" x14ac:dyDescent="0.25">
      <c r="A145" s="29"/>
      <c r="B145" s="29"/>
      <c r="C145" s="29"/>
      <c r="D145" s="29"/>
      <c r="E145" s="30" t="s">
        <v>377</v>
      </c>
      <c r="F145" s="132" t="s">
        <v>217</v>
      </c>
      <c r="G145" s="132" t="s">
        <v>217</v>
      </c>
      <c r="H145" s="41"/>
      <c r="I145" s="39" t="s">
        <v>367</v>
      </c>
      <c r="J145" s="39" t="s">
        <v>368</v>
      </c>
    </row>
    <row r="146" spans="1:12" ht="69" customHeight="1" x14ac:dyDescent="0.25">
      <c r="A146" s="20"/>
      <c r="B146" s="20"/>
      <c r="C146" s="96"/>
      <c r="D146" s="96"/>
      <c r="E146" s="133" t="s">
        <v>378</v>
      </c>
      <c r="F146" s="1400"/>
      <c r="G146" s="1401"/>
      <c r="H146" s="1401"/>
      <c r="I146" s="1401"/>
      <c r="J146" s="1402"/>
    </row>
    <row r="147" spans="1:12" ht="57.75" customHeight="1" x14ac:dyDescent="0.25">
      <c r="A147" s="134"/>
      <c r="B147" s="134"/>
      <c r="C147" s="96"/>
      <c r="D147" s="96"/>
      <c r="E147" s="135" t="s">
        <v>379</v>
      </c>
      <c r="F147" s="136" t="s">
        <v>380</v>
      </c>
      <c r="G147" s="136" t="s">
        <v>381</v>
      </c>
      <c r="H147" s="1429" t="s">
        <v>382</v>
      </c>
      <c r="I147" s="1404" t="s">
        <v>383</v>
      </c>
      <c r="J147" s="1404" t="s">
        <v>384</v>
      </c>
    </row>
    <row r="148" spans="1:12" ht="63" customHeight="1" x14ac:dyDescent="0.25">
      <c r="A148" s="134"/>
      <c r="B148" s="134"/>
      <c r="C148" s="96"/>
      <c r="D148" s="96"/>
      <c r="E148" s="135" t="s">
        <v>385</v>
      </c>
      <c r="F148" s="34">
        <v>0</v>
      </c>
      <c r="G148" s="34">
        <v>0.6</v>
      </c>
      <c r="H148" s="1435"/>
      <c r="I148" s="1405"/>
      <c r="J148" s="1405"/>
    </row>
    <row r="149" spans="1:12" ht="82.5" customHeight="1" x14ac:dyDescent="0.25">
      <c r="A149" s="134"/>
      <c r="B149" s="134"/>
      <c r="C149" s="96"/>
      <c r="D149" s="96"/>
      <c r="E149" s="135" t="s">
        <v>386</v>
      </c>
      <c r="F149" s="34">
        <v>0</v>
      </c>
      <c r="G149" s="34">
        <v>0.05</v>
      </c>
      <c r="H149" s="1435"/>
      <c r="I149" s="1405"/>
      <c r="J149" s="1405"/>
    </row>
    <row r="150" spans="1:12" ht="55.5" customHeight="1" x14ac:dyDescent="0.25">
      <c r="A150" s="134"/>
      <c r="B150" s="134"/>
      <c r="C150" s="96"/>
      <c r="D150" s="96"/>
      <c r="E150" s="135" t="s">
        <v>387</v>
      </c>
      <c r="F150" s="136" t="s">
        <v>388</v>
      </c>
      <c r="G150" s="136" t="s">
        <v>389</v>
      </c>
      <c r="H150" s="1430"/>
      <c r="I150" s="1406"/>
      <c r="J150" s="1406"/>
    </row>
    <row r="151" spans="1:12" ht="80.25" customHeight="1" x14ac:dyDescent="0.25">
      <c r="A151" s="20"/>
      <c r="B151" s="20"/>
      <c r="C151" s="21"/>
      <c r="D151" s="27"/>
      <c r="E151" s="30" t="s">
        <v>390</v>
      </c>
      <c r="F151" s="137" t="s">
        <v>391</v>
      </c>
      <c r="G151" s="137" t="s">
        <v>392</v>
      </c>
      <c r="H151" s="30" t="s">
        <v>393</v>
      </c>
      <c r="I151" s="32" t="s">
        <v>353</v>
      </c>
      <c r="J151" s="32" t="s">
        <v>339</v>
      </c>
    </row>
    <row r="152" spans="1:12" s="18" customFormat="1" ht="66.75" customHeight="1" x14ac:dyDescent="0.25">
      <c r="A152" s="21" t="s">
        <v>394</v>
      </c>
      <c r="B152" s="21" t="s">
        <v>395</v>
      </c>
      <c r="C152" s="21" t="s">
        <v>396</v>
      </c>
      <c r="D152" s="21" t="s">
        <v>333</v>
      </c>
      <c r="E152" s="23" t="s">
        <v>397</v>
      </c>
      <c r="F152" s="138" t="s">
        <v>398</v>
      </c>
      <c r="G152" s="138" t="s">
        <v>399</v>
      </c>
      <c r="H152" s="139" t="s">
        <v>372</v>
      </c>
      <c r="I152" s="33" t="s">
        <v>367</v>
      </c>
      <c r="J152" s="33" t="s">
        <v>368</v>
      </c>
    </row>
    <row r="153" spans="1:12" ht="100.5" customHeight="1" x14ac:dyDescent="0.25">
      <c r="A153" s="29"/>
      <c r="B153" s="29"/>
      <c r="C153" s="29"/>
      <c r="D153" s="29"/>
      <c r="E153" s="22" t="s">
        <v>400</v>
      </c>
      <c r="F153" s="129" t="s">
        <v>401</v>
      </c>
      <c r="G153" s="129" t="s">
        <v>402</v>
      </c>
      <c r="H153" s="41" t="s">
        <v>376</v>
      </c>
      <c r="I153" s="39" t="s">
        <v>367</v>
      </c>
      <c r="J153" s="39" t="s">
        <v>368</v>
      </c>
    </row>
    <row r="154" spans="1:12" ht="82.5" customHeight="1" x14ac:dyDescent="0.25">
      <c r="A154" s="29"/>
      <c r="B154" s="29"/>
      <c r="C154" s="29"/>
      <c r="D154" s="29"/>
      <c r="E154" s="22" t="s">
        <v>403</v>
      </c>
      <c r="F154" s="129" t="s">
        <v>404</v>
      </c>
      <c r="G154" s="130" t="s">
        <v>405</v>
      </c>
      <c r="H154" s="41" t="s">
        <v>366</v>
      </c>
      <c r="I154" s="39" t="s">
        <v>367</v>
      </c>
      <c r="J154" s="39" t="s">
        <v>368</v>
      </c>
    </row>
    <row r="155" spans="1:12" ht="65.25" customHeight="1" x14ac:dyDescent="0.25">
      <c r="A155" s="29"/>
      <c r="B155" s="29"/>
      <c r="C155" s="29" t="s">
        <v>406</v>
      </c>
      <c r="D155" s="29" t="s">
        <v>407</v>
      </c>
      <c r="E155" s="27" t="s">
        <v>408</v>
      </c>
      <c r="F155" s="39">
        <v>1</v>
      </c>
      <c r="G155" s="39">
        <v>2</v>
      </c>
      <c r="H155" s="1433" t="s">
        <v>409</v>
      </c>
      <c r="I155" s="39" t="s">
        <v>367</v>
      </c>
      <c r="J155" s="39" t="s">
        <v>368</v>
      </c>
    </row>
    <row r="156" spans="1:12" s="18" customFormat="1" ht="54" customHeight="1" x14ac:dyDescent="0.25">
      <c r="A156" s="29"/>
      <c r="B156" s="29"/>
      <c r="C156" s="29"/>
      <c r="D156" s="29"/>
      <c r="E156" s="21" t="s">
        <v>410</v>
      </c>
      <c r="F156" s="33" t="s">
        <v>411</v>
      </c>
      <c r="G156" s="33" t="s">
        <v>412</v>
      </c>
      <c r="H156" s="1433"/>
      <c r="I156" s="33" t="s">
        <v>367</v>
      </c>
      <c r="J156" s="33" t="s">
        <v>368</v>
      </c>
    </row>
    <row r="157" spans="1:12" ht="78.75" customHeight="1" x14ac:dyDescent="0.25">
      <c r="A157" s="22"/>
      <c r="B157" s="22"/>
      <c r="C157" s="22"/>
      <c r="D157" s="22"/>
      <c r="E157" s="22" t="s">
        <v>413</v>
      </c>
      <c r="F157" s="129" t="s">
        <v>411</v>
      </c>
      <c r="G157" s="129" t="s">
        <v>414</v>
      </c>
      <c r="H157" s="41" t="s">
        <v>409</v>
      </c>
      <c r="I157" s="39" t="s">
        <v>367</v>
      </c>
      <c r="J157" s="39" t="s">
        <v>368</v>
      </c>
    </row>
    <row r="158" spans="1:12" ht="75.75" customHeight="1" x14ac:dyDescent="0.25">
      <c r="A158" s="20" t="s">
        <v>415</v>
      </c>
      <c r="B158" s="20" t="s">
        <v>416</v>
      </c>
      <c r="C158" s="22" t="s">
        <v>417</v>
      </c>
      <c r="D158" s="22" t="s">
        <v>418</v>
      </c>
      <c r="E158" s="140" t="s">
        <v>419</v>
      </c>
      <c r="F158" s="112" t="s">
        <v>420</v>
      </c>
      <c r="G158" s="52" t="s">
        <v>421</v>
      </c>
      <c r="H158" s="41"/>
      <c r="I158" s="39" t="s">
        <v>422</v>
      </c>
      <c r="J158" s="39" t="s">
        <v>423</v>
      </c>
    </row>
    <row r="159" spans="1:12" ht="69" customHeight="1" x14ac:dyDescent="0.25">
      <c r="A159" s="19"/>
      <c r="B159" s="19"/>
      <c r="C159" s="22" t="s">
        <v>424</v>
      </c>
      <c r="D159" s="22" t="s">
        <v>425</v>
      </c>
      <c r="E159" s="23" t="s">
        <v>426</v>
      </c>
      <c r="F159" s="112" t="s">
        <v>420</v>
      </c>
      <c r="G159" s="68" t="s">
        <v>427</v>
      </c>
      <c r="H159" s="1410" t="s">
        <v>428</v>
      </c>
      <c r="I159" s="1369" t="s">
        <v>422</v>
      </c>
      <c r="J159" s="1369" t="s">
        <v>423</v>
      </c>
      <c r="L159" s="141"/>
    </row>
    <row r="160" spans="1:12" ht="60.75" customHeight="1" x14ac:dyDescent="0.25">
      <c r="A160" s="19"/>
      <c r="B160" s="19"/>
      <c r="C160" s="22" t="s">
        <v>429</v>
      </c>
      <c r="D160" s="22" t="s">
        <v>430</v>
      </c>
      <c r="E160" s="23" t="s">
        <v>431</v>
      </c>
      <c r="F160" s="112" t="s">
        <v>420</v>
      </c>
      <c r="G160" s="34">
        <v>1</v>
      </c>
      <c r="H160" s="1410"/>
      <c r="I160" s="1369"/>
      <c r="J160" s="1369"/>
    </row>
    <row r="161" spans="1:10" ht="89.25" customHeight="1" x14ac:dyDescent="0.25">
      <c r="A161" s="19"/>
      <c r="B161" s="19"/>
      <c r="C161" s="22" t="s">
        <v>432</v>
      </c>
      <c r="D161" s="22" t="s">
        <v>433</v>
      </c>
      <c r="E161" s="23" t="s">
        <v>434</v>
      </c>
      <c r="F161" s="112" t="s">
        <v>420</v>
      </c>
      <c r="G161" s="52" t="s">
        <v>435</v>
      </c>
      <c r="H161" s="1410" t="s">
        <v>436</v>
      </c>
      <c r="I161" s="39" t="s">
        <v>422</v>
      </c>
      <c r="J161" s="39" t="s">
        <v>423</v>
      </c>
    </row>
    <row r="162" spans="1:10" ht="135.75" customHeight="1" x14ac:dyDescent="0.25">
      <c r="A162" s="19"/>
      <c r="B162" s="19"/>
      <c r="C162" s="29"/>
      <c r="D162" s="29"/>
      <c r="E162" s="23" t="s">
        <v>437</v>
      </c>
      <c r="F162" s="112" t="s">
        <v>420</v>
      </c>
      <c r="G162" s="52" t="s">
        <v>438</v>
      </c>
      <c r="H162" s="1410"/>
      <c r="I162" s="39" t="s">
        <v>422</v>
      </c>
      <c r="J162" s="39" t="s">
        <v>423</v>
      </c>
    </row>
    <row r="163" spans="1:10" ht="80.25" customHeight="1" x14ac:dyDescent="0.25">
      <c r="A163" s="19"/>
      <c r="B163" s="19"/>
      <c r="C163" s="29"/>
      <c r="D163" s="29"/>
      <c r="E163" s="23" t="s">
        <v>439</v>
      </c>
      <c r="F163" s="112" t="s">
        <v>420</v>
      </c>
      <c r="G163" s="65">
        <v>1</v>
      </c>
      <c r="H163" s="1410" t="s">
        <v>436</v>
      </c>
      <c r="I163" s="39" t="s">
        <v>422</v>
      </c>
      <c r="J163" s="39" t="s">
        <v>423</v>
      </c>
    </row>
    <row r="164" spans="1:10" ht="154.5" customHeight="1" x14ac:dyDescent="0.25">
      <c r="A164" s="19"/>
      <c r="B164" s="19"/>
      <c r="C164" s="29"/>
      <c r="D164" s="29"/>
      <c r="E164" s="23" t="s">
        <v>440</v>
      </c>
      <c r="F164" s="112" t="s">
        <v>420</v>
      </c>
      <c r="G164" s="52" t="s">
        <v>441</v>
      </c>
      <c r="H164" s="1410"/>
      <c r="I164" s="39" t="s">
        <v>422</v>
      </c>
      <c r="J164" s="39" t="s">
        <v>423</v>
      </c>
    </row>
    <row r="165" spans="1:10" ht="107.25" customHeight="1" x14ac:dyDescent="0.25">
      <c r="A165" s="19"/>
      <c r="B165" s="19"/>
      <c r="C165" s="29"/>
      <c r="D165" s="29"/>
      <c r="E165" s="23" t="s">
        <v>442</v>
      </c>
      <c r="F165" s="112" t="s">
        <v>420</v>
      </c>
      <c r="G165" s="32" t="s">
        <v>441</v>
      </c>
      <c r="H165" s="1410"/>
      <c r="I165" s="39" t="s">
        <v>422</v>
      </c>
      <c r="J165" s="39" t="s">
        <v>423</v>
      </c>
    </row>
    <row r="166" spans="1:10" ht="110.25" customHeight="1" x14ac:dyDescent="0.25">
      <c r="A166" s="19"/>
      <c r="B166" s="19"/>
      <c r="C166" s="29"/>
      <c r="D166" s="29"/>
      <c r="E166" s="23" t="s">
        <v>443</v>
      </c>
      <c r="F166" s="112" t="s">
        <v>420</v>
      </c>
      <c r="G166" s="65">
        <v>1</v>
      </c>
      <c r="H166" s="1410"/>
      <c r="I166" s="39" t="s">
        <v>422</v>
      </c>
      <c r="J166" s="39" t="s">
        <v>423</v>
      </c>
    </row>
    <row r="167" spans="1:10" s="18" customFormat="1" ht="84.75" customHeight="1" x14ac:dyDescent="0.25">
      <c r="A167" s="19"/>
      <c r="B167" s="19"/>
      <c r="C167" s="29"/>
      <c r="D167" s="29"/>
      <c r="E167" s="41" t="s">
        <v>444</v>
      </c>
      <c r="F167" s="142" t="s">
        <v>420</v>
      </c>
      <c r="G167" s="110" t="s">
        <v>441</v>
      </c>
      <c r="H167" s="1410"/>
      <c r="I167" s="33" t="s">
        <v>422</v>
      </c>
      <c r="J167" s="33" t="s">
        <v>423</v>
      </c>
    </row>
    <row r="168" spans="1:10" ht="77.25" customHeight="1" x14ac:dyDescent="0.25">
      <c r="A168" s="20"/>
      <c r="B168" s="20"/>
      <c r="C168" s="22"/>
      <c r="D168" s="143"/>
      <c r="E168" s="23" t="s">
        <v>445</v>
      </c>
      <c r="F168" s="112" t="s">
        <v>420</v>
      </c>
      <c r="G168" s="65">
        <v>1</v>
      </c>
      <c r="H168" s="144"/>
      <c r="I168" s="39" t="s">
        <v>422</v>
      </c>
      <c r="J168" s="39" t="s">
        <v>423</v>
      </c>
    </row>
    <row r="169" spans="1:10" ht="57.75" customHeight="1" x14ac:dyDescent="0.25">
      <c r="A169" s="20"/>
      <c r="B169" s="20"/>
      <c r="C169" s="22"/>
      <c r="D169" s="21"/>
      <c r="E169" s="23" t="s">
        <v>446</v>
      </c>
      <c r="F169" s="32" t="s">
        <v>420</v>
      </c>
      <c r="G169" s="34">
        <v>1</v>
      </c>
      <c r="H169" s="144"/>
      <c r="I169" s="39" t="s">
        <v>422</v>
      </c>
      <c r="J169" s="39" t="s">
        <v>423</v>
      </c>
    </row>
    <row r="170" spans="1:10" ht="111.75" customHeight="1" x14ac:dyDescent="0.25">
      <c r="A170" s="20"/>
      <c r="B170" s="20"/>
      <c r="C170" s="22"/>
      <c r="D170" s="145"/>
      <c r="E170" s="23" t="s">
        <v>447</v>
      </c>
      <c r="F170" s="32" t="s">
        <v>420</v>
      </c>
      <c r="G170" s="34">
        <v>1</v>
      </c>
      <c r="H170" s="146"/>
      <c r="I170" s="39" t="s">
        <v>422</v>
      </c>
      <c r="J170" s="39" t="s">
        <v>423</v>
      </c>
    </row>
    <row r="171" spans="1:10" ht="74.25" customHeight="1" x14ac:dyDescent="0.25">
      <c r="A171" s="72" t="s">
        <v>448</v>
      </c>
      <c r="B171" s="72" t="s">
        <v>449</v>
      </c>
      <c r="C171" s="61" t="s">
        <v>450</v>
      </c>
      <c r="D171" s="61" t="s">
        <v>451</v>
      </c>
      <c r="E171" s="83" t="s">
        <v>452</v>
      </c>
      <c r="F171" s="147" t="s">
        <v>453</v>
      </c>
      <c r="G171" s="34">
        <v>1</v>
      </c>
      <c r="H171" s="1441" t="s">
        <v>454</v>
      </c>
      <c r="I171" s="33" t="s">
        <v>455</v>
      </c>
      <c r="J171" s="33" t="s">
        <v>456</v>
      </c>
    </row>
    <row r="172" spans="1:10" ht="74.25" customHeight="1" x14ac:dyDescent="0.25">
      <c r="A172" s="66"/>
      <c r="B172" s="66"/>
      <c r="C172" s="21" t="s">
        <v>457</v>
      </c>
      <c r="D172" s="21" t="s">
        <v>458</v>
      </c>
      <c r="E172" s="83" t="s">
        <v>459</v>
      </c>
      <c r="F172" s="147" t="s">
        <v>460</v>
      </c>
      <c r="G172" s="34">
        <v>1</v>
      </c>
      <c r="H172" s="1442"/>
      <c r="I172" s="33" t="s">
        <v>455</v>
      </c>
      <c r="J172" s="33" t="s">
        <v>456</v>
      </c>
    </row>
    <row r="173" spans="1:10" ht="81.75" customHeight="1" x14ac:dyDescent="0.25">
      <c r="A173" s="66"/>
      <c r="B173" s="66"/>
      <c r="C173" s="61" t="s">
        <v>461</v>
      </c>
      <c r="D173" s="61" t="s">
        <v>462</v>
      </c>
      <c r="E173" s="83" t="s">
        <v>463</v>
      </c>
      <c r="F173" s="32" t="s">
        <v>464</v>
      </c>
      <c r="G173" s="34">
        <v>1</v>
      </c>
      <c r="H173" s="1442"/>
      <c r="I173" s="33" t="s">
        <v>455</v>
      </c>
      <c r="J173" s="33" t="s">
        <v>456</v>
      </c>
    </row>
    <row r="174" spans="1:10" ht="66.75" customHeight="1" x14ac:dyDescent="0.25">
      <c r="A174" s="66"/>
      <c r="B174" s="66"/>
      <c r="C174" s="148"/>
      <c r="D174" s="61"/>
      <c r="E174" s="83" t="s">
        <v>465</v>
      </c>
      <c r="F174" s="32" t="s">
        <v>217</v>
      </c>
      <c r="G174" s="34">
        <v>1</v>
      </c>
      <c r="H174" s="1443"/>
      <c r="I174" s="33" t="s">
        <v>455</v>
      </c>
      <c r="J174" s="33" t="s">
        <v>456</v>
      </c>
    </row>
    <row r="175" spans="1:10" ht="41.25" customHeight="1" x14ac:dyDescent="0.25">
      <c r="A175" s="66"/>
      <c r="B175" s="66"/>
      <c r="C175" s="148"/>
      <c r="D175" s="61"/>
      <c r="E175" s="83" t="s">
        <v>466</v>
      </c>
      <c r="F175" s="32" t="s">
        <v>217</v>
      </c>
      <c r="G175" s="32" t="s">
        <v>467</v>
      </c>
      <c r="H175" s="1441" t="s">
        <v>468</v>
      </c>
      <c r="I175" s="33" t="s">
        <v>455</v>
      </c>
      <c r="J175" s="33" t="s">
        <v>456</v>
      </c>
    </row>
    <row r="176" spans="1:10" ht="55.5" customHeight="1" x14ac:dyDescent="0.25">
      <c r="A176" s="66"/>
      <c r="B176" s="66"/>
      <c r="C176" s="148"/>
      <c r="D176" s="61"/>
      <c r="E176" s="83" t="s">
        <v>469</v>
      </c>
      <c r="F176" s="32" t="s">
        <v>217</v>
      </c>
      <c r="G176" s="32" t="s">
        <v>467</v>
      </c>
      <c r="H176" s="1442"/>
      <c r="I176" s="33" t="s">
        <v>455</v>
      </c>
      <c r="J176" s="33" t="s">
        <v>456</v>
      </c>
    </row>
    <row r="177" spans="1:11" ht="82.5" customHeight="1" x14ac:dyDescent="0.25">
      <c r="A177" s="66"/>
      <c r="B177" s="66"/>
      <c r="C177" s="148"/>
      <c r="D177" s="61"/>
      <c r="E177" s="83" t="s">
        <v>470</v>
      </c>
      <c r="F177" s="32" t="s">
        <v>217</v>
      </c>
      <c r="G177" s="32" t="s">
        <v>217</v>
      </c>
      <c r="H177" s="1442"/>
      <c r="I177" s="33" t="s">
        <v>455</v>
      </c>
      <c r="J177" s="33" t="s">
        <v>456</v>
      </c>
    </row>
    <row r="178" spans="1:11" ht="66.75" customHeight="1" x14ac:dyDescent="0.25">
      <c r="A178" s="66"/>
      <c r="B178" s="66"/>
      <c r="C178" s="148"/>
      <c r="D178" s="61"/>
      <c r="E178" s="83" t="s">
        <v>471</v>
      </c>
      <c r="F178" s="32" t="s">
        <v>472</v>
      </c>
      <c r="G178" s="34">
        <v>1</v>
      </c>
      <c r="H178" s="1442"/>
      <c r="I178" s="33" t="s">
        <v>455</v>
      </c>
      <c r="J178" s="33" t="s">
        <v>456</v>
      </c>
    </row>
    <row r="179" spans="1:11" ht="61.5" customHeight="1" x14ac:dyDescent="0.25">
      <c r="A179" s="66"/>
      <c r="B179" s="66"/>
      <c r="C179" s="148"/>
      <c r="D179" s="61"/>
      <c r="E179" s="83" t="s">
        <v>473</v>
      </c>
      <c r="F179" s="32" t="s">
        <v>474</v>
      </c>
      <c r="G179" s="149" t="s">
        <v>475</v>
      </c>
      <c r="H179" s="1442"/>
      <c r="I179" s="33" t="s">
        <v>455</v>
      </c>
      <c r="J179" s="33" t="s">
        <v>456</v>
      </c>
    </row>
    <row r="180" spans="1:11" ht="61.5" customHeight="1" x14ac:dyDescent="0.25">
      <c r="A180" s="66"/>
      <c r="B180" s="66"/>
      <c r="C180" s="148"/>
      <c r="D180" s="61"/>
      <c r="E180" s="83" t="s">
        <v>476</v>
      </c>
      <c r="F180" s="32" t="s">
        <v>477</v>
      </c>
      <c r="G180" s="34">
        <v>1</v>
      </c>
      <c r="H180" s="1442"/>
      <c r="I180" s="33" t="s">
        <v>455</v>
      </c>
      <c r="J180" s="33" t="s">
        <v>456</v>
      </c>
    </row>
    <row r="181" spans="1:11" ht="52.5" customHeight="1" x14ac:dyDescent="0.25">
      <c r="A181" s="66"/>
      <c r="B181" s="66"/>
      <c r="C181" s="148"/>
      <c r="D181" s="61"/>
      <c r="E181" s="83" t="s">
        <v>478</v>
      </c>
      <c r="F181" s="32" t="s">
        <v>217</v>
      </c>
      <c r="G181" s="34">
        <f>SUM(C181:F181)</f>
        <v>0</v>
      </c>
      <c r="H181" s="1442"/>
      <c r="I181" s="33" t="s">
        <v>455</v>
      </c>
      <c r="J181" s="33" t="s">
        <v>456</v>
      </c>
    </row>
    <row r="182" spans="1:11" ht="52.5" customHeight="1" x14ac:dyDescent="0.25">
      <c r="A182" s="66"/>
      <c r="B182" s="66"/>
      <c r="C182" s="148"/>
      <c r="D182" s="61"/>
      <c r="E182" s="83" t="s">
        <v>479</v>
      </c>
      <c r="F182" s="32" t="s">
        <v>217</v>
      </c>
      <c r="G182" s="34">
        <v>0</v>
      </c>
      <c r="H182" s="1443"/>
      <c r="I182" s="33" t="s">
        <v>455</v>
      </c>
      <c r="J182" s="33" t="s">
        <v>456</v>
      </c>
    </row>
    <row r="183" spans="1:11" ht="63" customHeight="1" x14ac:dyDescent="0.25">
      <c r="A183" s="66"/>
      <c r="B183" s="66"/>
      <c r="C183" s="148"/>
      <c r="D183" s="61"/>
      <c r="E183" s="83" t="s">
        <v>480</v>
      </c>
      <c r="F183" s="32" t="s">
        <v>217</v>
      </c>
      <c r="G183" s="39" t="s">
        <v>481</v>
      </c>
      <c r="H183" s="22" t="s">
        <v>482</v>
      </c>
      <c r="I183" s="33" t="s">
        <v>455</v>
      </c>
      <c r="J183" s="33" t="s">
        <v>456</v>
      </c>
    </row>
    <row r="184" spans="1:11" ht="76.5" customHeight="1" x14ac:dyDescent="0.25">
      <c r="A184" s="21" t="s">
        <v>483</v>
      </c>
      <c r="B184" s="21" t="s">
        <v>484</v>
      </c>
      <c r="C184" s="61" t="s">
        <v>485</v>
      </c>
      <c r="D184" s="21" t="s">
        <v>486</v>
      </c>
      <c r="E184" s="83" t="s">
        <v>487</v>
      </c>
      <c r="F184" s="68" t="s">
        <v>488</v>
      </c>
      <c r="G184" s="68" t="s">
        <v>489</v>
      </c>
      <c r="H184" s="150" t="s">
        <v>490</v>
      </c>
      <c r="I184" s="68" t="s">
        <v>491</v>
      </c>
      <c r="J184" s="77" t="s">
        <v>384</v>
      </c>
    </row>
    <row r="185" spans="1:11" ht="43.5" customHeight="1" x14ac:dyDescent="0.25">
      <c r="A185" s="21"/>
      <c r="B185" s="21"/>
      <c r="C185" s="61"/>
      <c r="D185" s="21"/>
      <c r="E185" s="83" t="s">
        <v>492</v>
      </c>
      <c r="F185" s="151">
        <v>8923</v>
      </c>
      <c r="G185" s="151">
        <v>25773</v>
      </c>
      <c r="H185" s="150"/>
      <c r="I185" s="68" t="s">
        <v>491</v>
      </c>
      <c r="J185" s="77" t="s">
        <v>384</v>
      </c>
    </row>
    <row r="186" spans="1:11" ht="70.5" customHeight="1" x14ac:dyDescent="0.25">
      <c r="A186" s="21"/>
      <c r="B186" s="21"/>
      <c r="C186" s="61" t="s">
        <v>493</v>
      </c>
      <c r="D186" s="21" t="s">
        <v>494</v>
      </c>
      <c r="E186" s="83" t="s">
        <v>495</v>
      </c>
      <c r="F186" s="65"/>
      <c r="G186" s="65"/>
      <c r="H186" s="150"/>
      <c r="I186" s="68" t="s">
        <v>491</v>
      </c>
      <c r="J186" s="77" t="s">
        <v>384</v>
      </c>
    </row>
    <row r="187" spans="1:11" ht="79.5" customHeight="1" x14ac:dyDescent="0.25">
      <c r="A187" s="21"/>
      <c r="B187" s="21"/>
      <c r="C187" s="61" t="s">
        <v>496</v>
      </c>
      <c r="D187" s="61" t="s">
        <v>497</v>
      </c>
      <c r="E187" s="83" t="s">
        <v>498</v>
      </c>
      <c r="F187" s="68" t="s">
        <v>499</v>
      </c>
      <c r="G187" s="68" t="s">
        <v>500</v>
      </c>
      <c r="H187" s="150" t="s">
        <v>501</v>
      </c>
      <c r="I187" s="68" t="s">
        <v>491</v>
      </c>
      <c r="J187" s="77" t="s">
        <v>384</v>
      </c>
    </row>
    <row r="188" spans="1:11" s="18" customFormat="1" ht="30.75" customHeight="1" x14ac:dyDescent="0.25">
      <c r="A188" s="16" t="s">
        <v>502</v>
      </c>
      <c r="B188" s="1397" t="s">
        <v>503</v>
      </c>
      <c r="C188" s="1398"/>
      <c r="D188" s="1398"/>
      <c r="E188" s="1398"/>
      <c r="F188" s="1398"/>
      <c r="G188" s="1398"/>
      <c r="H188" s="1398"/>
      <c r="I188" s="1398"/>
      <c r="J188" s="1398"/>
      <c r="K188" s="17"/>
    </row>
    <row r="189" spans="1:11" ht="104.25" customHeight="1" x14ac:dyDescent="0.25">
      <c r="A189" s="22" t="s">
        <v>504</v>
      </c>
      <c r="B189" s="22" t="s">
        <v>505</v>
      </c>
      <c r="C189" s="41" t="s">
        <v>506</v>
      </c>
      <c r="D189" s="23" t="s">
        <v>507</v>
      </c>
      <c r="E189" s="152" t="s">
        <v>508</v>
      </c>
      <c r="F189" s="34">
        <v>0.5</v>
      </c>
      <c r="G189" s="34">
        <v>0.9</v>
      </c>
      <c r="H189" s="22" t="s">
        <v>509</v>
      </c>
      <c r="I189" s="153" t="s">
        <v>510</v>
      </c>
      <c r="J189" s="123" t="s">
        <v>511</v>
      </c>
    </row>
    <row r="190" spans="1:11" ht="60" customHeight="1" x14ac:dyDescent="0.25">
      <c r="A190" s="22"/>
      <c r="B190" s="22"/>
      <c r="C190" s="41"/>
      <c r="D190" s="23"/>
      <c r="E190" s="152" t="s">
        <v>512</v>
      </c>
      <c r="F190" s="34">
        <v>0.5</v>
      </c>
      <c r="G190" s="34">
        <v>0.9</v>
      </c>
      <c r="H190" s="22" t="s">
        <v>513</v>
      </c>
      <c r="I190" s="153" t="s">
        <v>510</v>
      </c>
      <c r="J190" s="123" t="s">
        <v>511</v>
      </c>
    </row>
    <row r="191" spans="1:11" ht="66.75" customHeight="1" x14ac:dyDescent="0.25">
      <c r="A191" s="22"/>
      <c r="B191" s="22"/>
      <c r="C191" s="41"/>
      <c r="D191" s="23"/>
      <c r="E191" s="152" t="s">
        <v>514</v>
      </c>
      <c r="F191" s="34"/>
      <c r="G191" s="34"/>
      <c r="H191" s="22"/>
      <c r="I191" s="153" t="s">
        <v>510</v>
      </c>
      <c r="J191" s="123" t="s">
        <v>533</v>
      </c>
    </row>
    <row r="192" spans="1:11" ht="93.75" customHeight="1" x14ac:dyDescent="0.25">
      <c r="A192" s="22"/>
      <c r="B192" s="22"/>
      <c r="C192" s="41"/>
      <c r="D192" s="23"/>
      <c r="E192" s="152" t="s">
        <v>515</v>
      </c>
      <c r="F192" s="137">
        <v>1</v>
      </c>
      <c r="G192" s="137">
        <v>1</v>
      </c>
      <c r="H192" s="22" t="s">
        <v>516</v>
      </c>
      <c r="I192" s="153" t="s">
        <v>510</v>
      </c>
      <c r="J192" s="123" t="s">
        <v>511</v>
      </c>
    </row>
    <row r="193" spans="1:10" ht="119.25" customHeight="1" x14ac:dyDescent="0.25">
      <c r="A193" s="22"/>
      <c r="B193" s="22"/>
      <c r="C193" s="41"/>
      <c r="D193" s="23"/>
      <c r="E193" s="152" t="s">
        <v>517</v>
      </c>
      <c r="F193" s="137">
        <v>0.85</v>
      </c>
      <c r="G193" s="137">
        <v>0.95</v>
      </c>
      <c r="H193" s="29"/>
      <c r="I193" s="153" t="s">
        <v>510</v>
      </c>
      <c r="J193" s="123" t="s">
        <v>511</v>
      </c>
    </row>
    <row r="194" spans="1:10" ht="51" customHeight="1" x14ac:dyDescent="0.25">
      <c r="A194" s="22"/>
      <c r="B194" s="22"/>
      <c r="C194" s="41"/>
      <c r="D194" s="23"/>
      <c r="E194" s="152" t="s">
        <v>518</v>
      </c>
      <c r="F194" s="137">
        <v>0.9</v>
      </c>
      <c r="G194" s="137">
        <v>0.95</v>
      </c>
      <c r="H194" s="29"/>
      <c r="I194" s="153" t="s">
        <v>510</v>
      </c>
      <c r="J194" s="123" t="s">
        <v>511</v>
      </c>
    </row>
    <row r="195" spans="1:10" ht="43.5" customHeight="1" x14ac:dyDescent="0.25">
      <c r="A195" s="22"/>
      <c r="B195" s="22"/>
      <c r="C195" s="41"/>
      <c r="D195" s="23"/>
      <c r="E195" s="152" t="s">
        <v>519</v>
      </c>
      <c r="F195" s="137">
        <v>0.8</v>
      </c>
      <c r="G195" s="137">
        <v>0.95</v>
      </c>
      <c r="H195" s="29"/>
      <c r="I195" s="153" t="s">
        <v>510</v>
      </c>
      <c r="J195" s="123" t="s">
        <v>511</v>
      </c>
    </row>
    <row r="196" spans="1:10" ht="42.75" customHeight="1" x14ac:dyDescent="0.25">
      <c r="A196" s="22"/>
      <c r="B196" s="22"/>
      <c r="C196" s="41"/>
      <c r="D196" s="23"/>
      <c r="E196" s="152" t="s">
        <v>520</v>
      </c>
      <c r="F196" s="137">
        <v>0.8</v>
      </c>
      <c r="G196" s="137">
        <v>0.95</v>
      </c>
      <c r="H196" s="29"/>
      <c r="I196" s="153" t="s">
        <v>510</v>
      </c>
      <c r="J196" s="123" t="s">
        <v>511</v>
      </c>
    </row>
    <row r="197" spans="1:10" ht="86.25" customHeight="1" x14ac:dyDescent="0.25">
      <c r="A197" s="22"/>
      <c r="B197" s="22"/>
      <c r="C197" s="41"/>
      <c r="D197" s="23"/>
      <c r="E197" s="152" t="s">
        <v>521</v>
      </c>
      <c r="F197" s="137">
        <v>0.9</v>
      </c>
      <c r="G197" s="137">
        <v>1</v>
      </c>
      <c r="H197" s="29"/>
      <c r="I197" s="153" t="s">
        <v>510</v>
      </c>
      <c r="J197" s="123" t="s">
        <v>511</v>
      </c>
    </row>
    <row r="198" spans="1:10" ht="41.25" customHeight="1" x14ac:dyDescent="0.25">
      <c r="A198" s="22"/>
      <c r="B198" s="22"/>
      <c r="C198" s="41"/>
      <c r="D198" s="23"/>
      <c r="E198" s="152" t="s">
        <v>522</v>
      </c>
      <c r="F198" s="137">
        <v>0.85</v>
      </c>
      <c r="G198" s="137">
        <v>0.95</v>
      </c>
      <c r="H198" s="29"/>
      <c r="I198" s="153" t="s">
        <v>510</v>
      </c>
      <c r="J198" s="123" t="s">
        <v>511</v>
      </c>
    </row>
    <row r="199" spans="1:10" ht="70.5" customHeight="1" x14ac:dyDescent="0.25">
      <c r="A199" s="22"/>
      <c r="B199" s="22"/>
      <c r="C199" s="41"/>
      <c r="D199" s="23"/>
      <c r="E199" s="152" t="s">
        <v>523</v>
      </c>
      <c r="F199" s="137">
        <v>0.6</v>
      </c>
      <c r="G199" s="137">
        <v>1</v>
      </c>
      <c r="H199" s="29"/>
      <c r="I199" s="153" t="s">
        <v>510</v>
      </c>
      <c r="J199" s="123" t="s">
        <v>511</v>
      </c>
    </row>
    <row r="200" spans="1:10" ht="56.25" customHeight="1" x14ac:dyDescent="0.25">
      <c r="A200" s="22"/>
      <c r="B200" s="22"/>
      <c r="C200" s="41"/>
      <c r="D200" s="23"/>
      <c r="E200" s="152" t="s">
        <v>524</v>
      </c>
      <c r="F200" s="137">
        <v>0.55000000000000004</v>
      </c>
      <c r="G200" s="137">
        <v>0.85</v>
      </c>
      <c r="H200" s="22" t="s">
        <v>525</v>
      </c>
      <c r="I200" s="153" t="s">
        <v>510</v>
      </c>
      <c r="J200" s="123" t="s">
        <v>511</v>
      </c>
    </row>
    <row r="201" spans="1:10" ht="41.25" customHeight="1" x14ac:dyDescent="0.25">
      <c r="A201" s="22"/>
      <c r="B201" s="22"/>
      <c r="C201" s="41"/>
      <c r="D201" s="23"/>
      <c r="E201" s="152" t="s">
        <v>649</v>
      </c>
      <c r="F201" s="137">
        <v>0.7</v>
      </c>
      <c r="G201" s="137">
        <v>0.85</v>
      </c>
      <c r="H201" s="22" t="s">
        <v>650</v>
      </c>
      <c r="I201" s="153" t="s">
        <v>510</v>
      </c>
      <c r="J201" s="123" t="s">
        <v>511</v>
      </c>
    </row>
    <row r="202" spans="1:10" ht="60" customHeight="1" x14ac:dyDescent="0.25">
      <c r="A202" s="22"/>
      <c r="B202" s="22"/>
      <c r="C202" s="41"/>
      <c r="D202" s="23"/>
      <c r="E202" s="30" t="s">
        <v>526</v>
      </c>
      <c r="F202" s="154">
        <v>0.2</v>
      </c>
      <c r="G202" s="154">
        <v>0.15</v>
      </c>
      <c r="H202" s="29" t="s">
        <v>527</v>
      </c>
      <c r="I202" s="153" t="s">
        <v>510</v>
      </c>
      <c r="J202" s="123" t="s">
        <v>511</v>
      </c>
    </row>
    <row r="203" spans="1:10" ht="66" customHeight="1" x14ac:dyDescent="0.25">
      <c r="A203" s="22"/>
      <c r="B203" s="22"/>
      <c r="C203" s="41"/>
      <c r="D203" s="23"/>
      <c r="E203" s="30" t="s">
        <v>528</v>
      </c>
      <c r="F203" s="154">
        <v>0.15</v>
      </c>
      <c r="G203" s="154">
        <v>0.15</v>
      </c>
      <c r="H203" s="29"/>
      <c r="I203" s="153" t="s">
        <v>510</v>
      </c>
      <c r="J203" s="123" t="s">
        <v>511</v>
      </c>
    </row>
    <row r="204" spans="1:10" ht="95.25" customHeight="1" x14ac:dyDescent="0.25">
      <c r="A204" s="20"/>
      <c r="B204" s="20"/>
      <c r="C204" s="22"/>
      <c r="D204" s="22"/>
      <c r="E204" s="155" t="s">
        <v>529</v>
      </c>
      <c r="F204" s="156" t="s">
        <v>530</v>
      </c>
      <c r="G204" s="156" t="s">
        <v>531</v>
      </c>
      <c r="H204" s="157" t="s">
        <v>532</v>
      </c>
      <c r="I204" s="32" t="s">
        <v>510</v>
      </c>
      <c r="J204" s="32" t="s">
        <v>533</v>
      </c>
    </row>
    <row r="205" spans="1:10" ht="44.25" customHeight="1" x14ac:dyDescent="0.25">
      <c r="A205" s="22"/>
      <c r="B205" s="22"/>
      <c r="C205" s="41"/>
      <c r="D205" s="23"/>
      <c r="E205" s="30" t="s">
        <v>534</v>
      </c>
      <c r="F205" s="137">
        <v>0.4</v>
      </c>
      <c r="G205" s="137">
        <v>0.8</v>
      </c>
      <c r="H205" s="29"/>
      <c r="I205" s="153" t="s">
        <v>510</v>
      </c>
      <c r="J205" s="123" t="s">
        <v>511</v>
      </c>
    </row>
    <row r="206" spans="1:10" ht="77.25" customHeight="1" x14ac:dyDescent="0.25">
      <c r="A206" s="22"/>
      <c r="B206" s="22"/>
      <c r="C206" s="41" t="s">
        <v>535</v>
      </c>
      <c r="D206" s="23" t="s">
        <v>536</v>
      </c>
      <c r="E206" s="30" t="s">
        <v>537</v>
      </c>
      <c r="F206" s="137"/>
      <c r="G206" s="137"/>
      <c r="H206" s="29"/>
      <c r="I206" s="32" t="s">
        <v>510</v>
      </c>
      <c r="J206" s="32" t="s">
        <v>533</v>
      </c>
    </row>
    <row r="207" spans="1:10" ht="96" customHeight="1" x14ac:dyDescent="0.25">
      <c r="A207" s="20"/>
      <c r="B207" s="20"/>
      <c r="C207" s="22"/>
      <c r="D207" s="22"/>
      <c r="E207" s="27" t="s">
        <v>538</v>
      </c>
      <c r="F207" s="158" t="s">
        <v>539</v>
      </c>
      <c r="G207" s="34">
        <v>1</v>
      </c>
      <c r="H207" s="155" t="s">
        <v>540</v>
      </c>
      <c r="I207" s="32" t="s">
        <v>510</v>
      </c>
      <c r="J207" s="32" t="s">
        <v>533</v>
      </c>
    </row>
    <row r="208" spans="1:10" ht="69" customHeight="1" x14ac:dyDescent="0.25">
      <c r="A208" s="20"/>
      <c r="B208" s="20"/>
      <c r="C208" s="22"/>
      <c r="D208" s="22"/>
      <c r="E208" s="155" t="s">
        <v>541</v>
      </c>
      <c r="F208" s="159" t="s">
        <v>542</v>
      </c>
      <c r="G208" s="34" t="s">
        <v>543</v>
      </c>
      <c r="H208" s="160" t="s">
        <v>544</v>
      </c>
      <c r="I208" s="32" t="s">
        <v>510</v>
      </c>
      <c r="J208" s="32" t="s">
        <v>533</v>
      </c>
    </row>
    <row r="209" spans="1:10" ht="85.5" customHeight="1" x14ac:dyDescent="0.25">
      <c r="A209" s="20"/>
      <c r="B209" s="20"/>
      <c r="C209" s="22"/>
      <c r="D209" s="22"/>
      <c r="E209" s="155" t="s">
        <v>545</v>
      </c>
      <c r="F209" s="39" t="s">
        <v>546</v>
      </c>
      <c r="G209" s="39" t="s">
        <v>546</v>
      </c>
      <c r="H209" s="22"/>
      <c r="I209" s="32" t="s">
        <v>510</v>
      </c>
      <c r="J209" s="32" t="s">
        <v>533</v>
      </c>
    </row>
    <row r="210" spans="1:10" ht="63" customHeight="1" x14ac:dyDescent="0.25">
      <c r="A210" s="20"/>
      <c r="B210" s="20"/>
      <c r="C210" s="22"/>
      <c r="D210" s="22"/>
      <c r="E210" s="155" t="s">
        <v>547</v>
      </c>
      <c r="F210" s="39" t="s">
        <v>548</v>
      </c>
      <c r="G210" s="39" t="s">
        <v>549</v>
      </c>
      <c r="H210" s="22"/>
      <c r="I210" s="32" t="s">
        <v>510</v>
      </c>
      <c r="J210" s="32" t="s">
        <v>533</v>
      </c>
    </row>
    <row r="211" spans="1:10" ht="60" customHeight="1" x14ac:dyDescent="0.25">
      <c r="A211" s="20"/>
      <c r="B211" s="20"/>
      <c r="C211" s="22"/>
      <c r="D211" s="22"/>
      <c r="E211" s="155" t="s">
        <v>550</v>
      </c>
      <c r="F211" s="34" t="s">
        <v>551</v>
      </c>
      <c r="G211" s="34" t="s">
        <v>552</v>
      </c>
      <c r="H211" s="22"/>
      <c r="I211" s="32" t="s">
        <v>510</v>
      </c>
      <c r="J211" s="32" t="s">
        <v>533</v>
      </c>
    </row>
    <row r="212" spans="1:10" ht="57" customHeight="1" x14ac:dyDescent="0.25">
      <c r="A212" s="20"/>
      <c r="B212" s="20"/>
      <c r="C212" s="22"/>
      <c r="D212" s="22"/>
      <c r="E212" s="155" t="s">
        <v>553</v>
      </c>
      <c r="F212" s="32" t="s">
        <v>554</v>
      </c>
      <c r="G212" s="159" t="s">
        <v>543</v>
      </c>
      <c r="H212" s="22"/>
      <c r="I212" s="32" t="s">
        <v>510</v>
      </c>
      <c r="J212" s="32" t="s">
        <v>533</v>
      </c>
    </row>
    <row r="213" spans="1:10" ht="111" customHeight="1" x14ac:dyDescent="0.25">
      <c r="A213" s="20"/>
      <c r="B213" s="20"/>
      <c r="C213" s="22"/>
      <c r="D213" s="22"/>
      <c r="E213" s="155" t="s">
        <v>555</v>
      </c>
      <c r="F213" s="159" t="s">
        <v>556</v>
      </c>
      <c r="G213" s="159" t="s">
        <v>557</v>
      </c>
      <c r="H213" s="155" t="s">
        <v>558</v>
      </c>
      <c r="I213" s="32" t="s">
        <v>510</v>
      </c>
      <c r="J213" s="32" t="s">
        <v>533</v>
      </c>
    </row>
    <row r="214" spans="1:10" ht="69.75" customHeight="1" x14ac:dyDescent="0.25">
      <c r="A214" s="20"/>
      <c r="B214" s="20"/>
      <c r="C214" s="22"/>
      <c r="D214" s="22"/>
      <c r="E214" s="155" t="s">
        <v>559</v>
      </c>
      <c r="F214" s="34" t="s">
        <v>560</v>
      </c>
      <c r="G214" s="34" t="s">
        <v>561</v>
      </c>
      <c r="H214" s="155"/>
      <c r="I214" s="32" t="s">
        <v>510</v>
      </c>
      <c r="J214" s="32" t="s">
        <v>533</v>
      </c>
    </row>
    <row r="215" spans="1:10" ht="55.5" customHeight="1" x14ac:dyDescent="0.25">
      <c r="A215" s="20"/>
      <c r="B215" s="20"/>
      <c r="C215" s="22"/>
      <c r="D215" s="22"/>
      <c r="E215" s="155" t="s">
        <v>562</v>
      </c>
      <c r="F215" s="34" t="s">
        <v>551</v>
      </c>
      <c r="G215" s="34" t="s">
        <v>563</v>
      </c>
      <c r="H215" s="155"/>
      <c r="I215" s="32" t="s">
        <v>510</v>
      </c>
      <c r="J215" s="32" t="s">
        <v>533</v>
      </c>
    </row>
    <row r="216" spans="1:10" ht="57" customHeight="1" x14ac:dyDescent="0.25">
      <c r="A216" s="20"/>
      <c r="B216" s="20"/>
      <c r="C216" s="22"/>
      <c r="D216" s="22"/>
      <c r="E216" s="27" t="s">
        <v>564</v>
      </c>
      <c r="F216" s="34" t="s">
        <v>551</v>
      </c>
      <c r="G216" s="34">
        <v>1</v>
      </c>
      <c r="H216" s="155"/>
      <c r="I216" s="32" t="s">
        <v>510</v>
      </c>
      <c r="J216" s="32" t="s">
        <v>533</v>
      </c>
    </row>
    <row r="217" spans="1:10" ht="85.5" customHeight="1" x14ac:dyDescent="0.25">
      <c r="A217" s="20"/>
      <c r="B217" s="20"/>
      <c r="C217" s="22"/>
      <c r="D217" s="22"/>
      <c r="E217" s="27" t="s">
        <v>565</v>
      </c>
      <c r="F217" s="34">
        <v>1</v>
      </c>
      <c r="G217" s="34">
        <v>1</v>
      </c>
      <c r="H217" s="155" t="s">
        <v>566</v>
      </c>
      <c r="I217" s="32" t="s">
        <v>510</v>
      </c>
      <c r="J217" s="32" t="s">
        <v>533</v>
      </c>
    </row>
    <row r="218" spans="1:10" ht="139.5" customHeight="1" x14ac:dyDescent="0.25">
      <c r="A218" s="41" t="s">
        <v>567</v>
      </c>
      <c r="B218" s="41" t="s">
        <v>568</v>
      </c>
      <c r="C218" s="41" t="s">
        <v>569</v>
      </c>
      <c r="D218" s="23" t="s">
        <v>570</v>
      </c>
      <c r="E218" s="30" t="s">
        <v>571</v>
      </c>
      <c r="F218" s="33" t="s">
        <v>572</v>
      </c>
      <c r="G218" s="33" t="s">
        <v>573</v>
      </c>
      <c r="H218" s="22" t="s">
        <v>574</v>
      </c>
      <c r="I218" s="153" t="s">
        <v>510</v>
      </c>
      <c r="J218" s="123" t="s">
        <v>511</v>
      </c>
    </row>
    <row r="219" spans="1:10" ht="53.25" customHeight="1" x14ac:dyDescent="0.25">
      <c r="A219" s="41"/>
      <c r="B219" s="41"/>
      <c r="C219" s="41"/>
      <c r="D219" s="23"/>
      <c r="E219" s="30" t="s">
        <v>575</v>
      </c>
      <c r="F219" s="25" t="s">
        <v>576</v>
      </c>
      <c r="G219" s="25" t="s">
        <v>577</v>
      </c>
      <c r="H219" s="22" t="s">
        <v>578</v>
      </c>
      <c r="I219" s="153" t="s">
        <v>510</v>
      </c>
      <c r="J219" s="123" t="s">
        <v>511</v>
      </c>
    </row>
    <row r="220" spans="1:10" ht="57.75" customHeight="1" x14ac:dyDescent="0.25">
      <c r="A220" s="41"/>
      <c r="B220" s="41"/>
      <c r="C220" s="41"/>
      <c r="D220" s="23"/>
      <c r="E220" s="152" t="s">
        <v>579</v>
      </c>
      <c r="F220" s="33" t="s">
        <v>580</v>
      </c>
      <c r="G220" s="33" t="s">
        <v>581</v>
      </c>
      <c r="H220" s="1434" t="s">
        <v>582</v>
      </c>
      <c r="I220" s="153" t="s">
        <v>510</v>
      </c>
      <c r="J220" s="123" t="s">
        <v>511</v>
      </c>
    </row>
    <row r="221" spans="1:10" ht="68.25" customHeight="1" x14ac:dyDescent="0.25">
      <c r="A221" s="41"/>
      <c r="B221" s="41"/>
      <c r="C221" s="41"/>
      <c r="D221" s="23"/>
      <c r="E221" s="152" t="s">
        <v>583</v>
      </c>
      <c r="F221" s="137">
        <v>0.85</v>
      </c>
      <c r="G221" s="137">
        <v>0.95</v>
      </c>
      <c r="H221" s="1434"/>
      <c r="I221" s="153" t="s">
        <v>510</v>
      </c>
      <c r="J221" s="123" t="s">
        <v>511</v>
      </c>
    </row>
    <row r="222" spans="1:10" ht="66" customHeight="1" x14ac:dyDescent="0.25">
      <c r="A222" s="41"/>
      <c r="B222" s="41"/>
      <c r="C222" s="41"/>
      <c r="D222" s="23"/>
      <c r="E222" s="152" t="s">
        <v>584</v>
      </c>
      <c r="F222" s="154">
        <v>0.75</v>
      </c>
      <c r="G222" s="154">
        <v>0.9</v>
      </c>
      <c r="H222" s="1434"/>
      <c r="I222" s="153" t="s">
        <v>510</v>
      </c>
      <c r="J222" s="123" t="s">
        <v>511</v>
      </c>
    </row>
    <row r="223" spans="1:10" ht="53.25" customHeight="1" x14ac:dyDescent="0.25">
      <c r="A223" s="41"/>
      <c r="B223" s="41"/>
      <c r="C223" s="41"/>
      <c r="D223" s="23"/>
      <c r="E223" s="152" t="s">
        <v>585</v>
      </c>
      <c r="F223" s="137">
        <v>1</v>
      </c>
      <c r="G223" s="137">
        <v>1</v>
      </c>
      <c r="H223" s="29" t="s">
        <v>586</v>
      </c>
      <c r="I223" s="153" t="s">
        <v>510</v>
      </c>
      <c r="J223" s="123" t="s">
        <v>511</v>
      </c>
    </row>
    <row r="224" spans="1:10" ht="54" customHeight="1" x14ac:dyDescent="0.25">
      <c r="A224" s="41"/>
      <c r="B224" s="41"/>
      <c r="C224" s="41"/>
      <c r="D224" s="23"/>
      <c r="E224" s="152" t="s">
        <v>587</v>
      </c>
      <c r="F224" s="137">
        <v>0.5</v>
      </c>
      <c r="G224" s="137">
        <v>1</v>
      </c>
      <c r="H224" s="1434" t="s">
        <v>588</v>
      </c>
      <c r="I224" s="153" t="s">
        <v>510</v>
      </c>
      <c r="J224" s="123" t="s">
        <v>511</v>
      </c>
    </row>
    <row r="225" spans="1:11" ht="110.25" customHeight="1" x14ac:dyDescent="0.25">
      <c r="A225" s="41"/>
      <c r="B225" s="41"/>
      <c r="C225" s="41"/>
      <c r="D225" s="23"/>
      <c r="E225" s="152" t="s">
        <v>589</v>
      </c>
      <c r="F225" s="154">
        <v>1</v>
      </c>
      <c r="G225" s="161">
        <v>1</v>
      </c>
      <c r="H225" s="1434"/>
      <c r="I225" s="153" t="s">
        <v>510</v>
      </c>
      <c r="J225" s="123" t="s">
        <v>511</v>
      </c>
    </row>
    <row r="226" spans="1:11" ht="123" customHeight="1" x14ac:dyDescent="0.25">
      <c r="A226" s="41"/>
      <c r="B226" s="41"/>
      <c r="C226" s="41"/>
      <c r="D226" s="23"/>
      <c r="E226" s="152" t="s">
        <v>590</v>
      </c>
      <c r="F226" s="154">
        <v>0.1</v>
      </c>
      <c r="G226" s="154">
        <v>0.4</v>
      </c>
      <c r="H226" s="1434"/>
      <c r="I226" s="153" t="s">
        <v>510</v>
      </c>
      <c r="J226" s="123" t="s">
        <v>511</v>
      </c>
    </row>
    <row r="227" spans="1:11" ht="74.25" customHeight="1" x14ac:dyDescent="0.25">
      <c r="A227" s="22" t="s">
        <v>591</v>
      </c>
      <c r="B227" s="22" t="s">
        <v>592</v>
      </c>
      <c r="C227" s="1393" t="s">
        <v>593</v>
      </c>
      <c r="D227" s="1440" t="s">
        <v>594</v>
      </c>
      <c r="E227" s="152" t="s">
        <v>595</v>
      </c>
      <c r="F227" s="137">
        <v>0.4</v>
      </c>
      <c r="G227" s="137">
        <v>0.7</v>
      </c>
      <c r="H227" s="22" t="s">
        <v>596</v>
      </c>
      <c r="I227" s="153" t="s">
        <v>510</v>
      </c>
      <c r="J227" s="123" t="s">
        <v>511</v>
      </c>
    </row>
    <row r="228" spans="1:11" ht="70.5" customHeight="1" x14ac:dyDescent="0.25">
      <c r="A228" s="22"/>
      <c r="B228" s="22"/>
      <c r="C228" s="1393"/>
      <c r="D228" s="1440"/>
      <c r="E228" s="152" t="s">
        <v>597</v>
      </c>
      <c r="F228" s="137">
        <v>0.4</v>
      </c>
      <c r="G228" s="137">
        <v>0.7</v>
      </c>
      <c r="H228" s="22" t="s">
        <v>598</v>
      </c>
      <c r="I228" s="153" t="s">
        <v>510</v>
      </c>
      <c r="J228" s="123" t="s">
        <v>511</v>
      </c>
    </row>
    <row r="229" spans="1:11" ht="90" customHeight="1" x14ac:dyDescent="0.25">
      <c r="A229" s="22"/>
      <c r="B229" s="22"/>
      <c r="C229" s="1393"/>
      <c r="D229" s="1440"/>
      <c r="E229" s="152" t="s">
        <v>599</v>
      </c>
      <c r="F229" s="137">
        <v>0.3</v>
      </c>
      <c r="G229" s="137">
        <v>0.8</v>
      </c>
      <c r="H229" s="22" t="s">
        <v>600</v>
      </c>
      <c r="I229" s="153" t="s">
        <v>510</v>
      </c>
      <c r="J229" s="123" t="s">
        <v>511</v>
      </c>
    </row>
    <row r="230" spans="1:11" ht="59.25" customHeight="1" x14ac:dyDescent="0.25">
      <c r="A230" s="163"/>
      <c r="B230" s="163"/>
      <c r="C230" s="21" t="s">
        <v>601</v>
      </c>
      <c r="D230" s="21" t="s">
        <v>602</v>
      </c>
      <c r="E230" s="1383" t="s">
        <v>603</v>
      </c>
      <c r="F230" s="1384" t="s">
        <v>604</v>
      </c>
      <c r="G230" s="1384" t="s">
        <v>605</v>
      </c>
      <c r="H230" s="27" t="s">
        <v>606</v>
      </c>
      <c r="I230" s="68" t="s">
        <v>607</v>
      </c>
      <c r="J230" s="1399" t="s">
        <v>608</v>
      </c>
    </row>
    <row r="231" spans="1:11" ht="57.75" customHeight="1" x14ac:dyDescent="0.25">
      <c r="A231" s="163"/>
      <c r="B231" s="163"/>
      <c r="C231" s="21"/>
      <c r="D231" s="21"/>
      <c r="E231" s="1383"/>
      <c r="F231" s="1384"/>
      <c r="G231" s="1384"/>
      <c r="H231" s="150" t="s">
        <v>609</v>
      </c>
      <c r="I231" s="68" t="s">
        <v>607</v>
      </c>
      <c r="J231" s="1399"/>
    </row>
    <row r="232" spans="1:11" ht="69.75" customHeight="1" x14ac:dyDescent="0.25">
      <c r="A232" s="163"/>
      <c r="B232" s="163"/>
      <c r="C232" s="21"/>
      <c r="D232" s="21" t="s">
        <v>610</v>
      </c>
      <c r="E232" s="1383" t="s">
        <v>611</v>
      </c>
      <c r="F232" s="1384" t="s">
        <v>612</v>
      </c>
      <c r="G232" s="1384" t="s">
        <v>613</v>
      </c>
      <c r="H232" s="150" t="s">
        <v>614</v>
      </c>
      <c r="I232" s="68" t="s">
        <v>607</v>
      </c>
      <c r="J232" s="1385" t="s">
        <v>608</v>
      </c>
    </row>
    <row r="233" spans="1:11" ht="60.75" customHeight="1" x14ac:dyDescent="0.25">
      <c r="A233" s="163"/>
      <c r="B233" s="163"/>
      <c r="C233" s="26"/>
      <c r="D233" s="26"/>
      <c r="E233" s="1383"/>
      <c r="F233" s="1384"/>
      <c r="G233" s="1384"/>
      <c r="H233" s="150" t="s">
        <v>615</v>
      </c>
      <c r="I233" s="68" t="s">
        <v>607</v>
      </c>
      <c r="J233" s="1385"/>
    </row>
    <row r="234" spans="1:11" ht="66.75" customHeight="1" x14ac:dyDescent="0.25">
      <c r="A234" s="163"/>
      <c r="B234" s="163"/>
      <c r="C234" s="26"/>
      <c r="D234" s="21" t="s">
        <v>616</v>
      </c>
      <c r="E234" s="166" t="s">
        <v>617</v>
      </c>
      <c r="F234" s="167" t="s">
        <v>618</v>
      </c>
      <c r="G234" s="167" t="s">
        <v>619</v>
      </c>
      <c r="H234" s="150" t="s">
        <v>620</v>
      </c>
      <c r="I234" s="68" t="s">
        <v>607</v>
      </c>
      <c r="J234" s="68" t="s">
        <v>608</v>
      </c>
    </row>
    <row r="235" spans="1:11" s="18" customFormat="1" ht="77.25" customHeight="1" x14ac:dyDescent="0.25">
      <c r="A235" s="82"/>
      <c r="B235" s="82"/>
      <c r="C235" s="46"/>
      <c r="D235" s="46"/>
      <c r="E235" s="168"/>
      <c r="F235" s="169"/>
      <c r="G235" s="169"/>
      <c r="H235" s="170" t="s">
        <v>621</v>
      </c>
      <c r="I235" s="171" t="s">
        <v>607</v>
      </c>
      <c r="J235" s="48"/>
    </row>
    <row r="236" spans="1:11" ht="99" customHeight="1" x14ac:dyDescent="0.25">
      <c r="A236" s="22" t="s">
        <v>622</v>
      </c>
      <c r="B236" s="22" t="s">
        <v>623</v>
      </c>
      <c r="C236" s="21" t="s">
        <v>624</v>
      </c>
      <c r="D236" s="21" t="s">
        <v>625</v>
      </c>
      <c r="E236" s="172" t="s">
        <v>626</v>
      </c>
      <c r="F236" s="159" t="s">
        <v>627</v>
      </c>
      <c r="G236" s="32" t="s">
        <v>628</v>
      </c>
      <c r="H236" s="22" t="s">
        <v>629</v>
      </c>
      <c r="I236" s="29" t="s">
        <v>630</v>
      </c>
      <c r="J236" s="32" t="s">
        <v>631</v>
      </c>
    </row>
    <row r="237" spans="1:11" ht="57" customHeight="1" x14ac:dyDescent="0.25">
      <c r="A237" s="22"/>
      <c r="B237" s="22"/>
      <c r="C237" s="21"/>
      <c r="D237" s="21"/>
      <c r="E237" s="173" t="s">
        <v>1816</v>
      </c>
      <c r="F237" s="32" t="s">
        <v>633</v>
      </c>
      <c r="G237" s="32" t="s">
        <v>634</v>
      </c>
      <c r="H237" s="22"/>
      <c r="I237" s="29" t="s">
        <v>630</v>
      </c>
      <c r="J237" s="32" t="s">
        <v>631</v>
      </c>
    </row>
    <row r="238" spans="1:11" ht="69" customHeight="1" x14ac:dyDescent="0.25">
      <c r="A238" s="22"/>
      <c r="B238" s="22"/>
      <c r="C238" s="21"/>
      <c r="D238" s="21"/>
      <c r="E238" s="172" t="s">
        <v>635</v>
      </c>
      <c r="F238" s="32" t="s">
        <v>636</v>
      </c>
      <c r="G238" s="32" t="s">
        <v>637</v>
      </c>
      <c r="H238" s="22"/>
      <c r="I238" s="29" t="s">
        <v>630</v>
      </c>
      <c r="J238" s="32" t="s">
        <v>631</v>
      </c>
    </row>
    <row r="239" spans="1:11" ht="66.75" customHeight="1" x14ac:dyDescent="0.25">
      <c r="A239" s="22"/>
      <c r="B239" s="22"/>
      <c r="C239" s="21"/>
      <c r="D239" s="21"/>
      <c r="E239" s="174" t="s">
        <v>638</v>
      </c>
      <c r="F239" s="32" t="s">
        <v>639</v>
      </c>
      <c r="G239" s="32" t="s">
        <v>640</v>
      </c>
      <c r="H239" s="22" t="s">
        <v>1813</v>
      </c>
      <c r="I239" s="29" t="s">
        <v>630</v>
      </c>
      <c r="J239" s="32" t="s">
        <v>631</v>
      </c>
    </row>
    <row r="240" spans="1:11" ht="90.75" customHeight="1" x14ac:dyDescent="0.25">
      <c r="A240" s="22"/>
      <c r="B240" s="22"/>
      <c r="C240" s="21"/>
      <c r="D240" s="21"/>
      <c r="E240" s="174" t="s">
        <v>641</v>
      </c>
      <c r="F240" s="32" t="s">
        <v>642</v>
      </c>
      <c r="G240" s="32" t="s">
        <v>643</v>
      </c>
      <c r="H240" s="22" t="s">
        <v>644</v>
      </c>
      <c r="I240" s="29" t="s">
        <v>630</v>
      </c>
      <c r="J240" s="32" t="s">
        <v>631</v>
      </c>
      <c r="K240" s="175"/>
    </row>
    <row r="241" spans="1:10" ht="121.5" customHeight="1" x14ac:dyDescent="0.25">
      <c r="A241" s="22"/>
      <c r="B241" s="22"/>
      <c r="C241" s="21"/>
      <c r="D241" s="21"/>
      <c r="E241" s="176" t="s">
        <v>645</v>
      </c>
      <c r="F241" s="177">
        <v>4.3055555555555562E-2</v>
      </c>
      <c r="G241" s="177">
        <v>4.2361111111111106E-2</v>
      </c>
      <c r="H241" s="22" t="s">
        <v>650</v>
      </c>
      <c r="I241" s="49"/>
      <c r="J241" s="32" t="s">
        <v>631</v>
      </c>
    </row>
    <row r="242" spans="1:10" ht="97.5" customHeight="1" x14ac:dyDescent="0.25">
      <c r="A242" s="22"/>
      <c r="B242" s="22"/>
      <c r="C242" s="21"/>
      <c r="D242" s="21"/>
      <c r="E242" s="176" t="s">
        <v>646</v>
      </c>
      <c r="F242" s="34">
        <v>1</v>
      </c>
      <c r="G242" s="34">
        <v>1</v>
      </c>
      <c r="H242" s="22" t="s">
        <v>1814</v>
      </c>
      <c r="I242" s="1348" t="s">
        <v>630</v>
      </c>
      <c r="J242" s="32" t="s">
        <v>631</v>
      </c>
    </row>
    <row r="243" spans="1:10" ht="112.5" customHeight="1" x14ac:dyDescent="0.25">
      <c r="A243" s="22"/>
      <c r="B243" s="22"/>
      <c r="C243" s="21"/>
      <c r="D243" s="21"/>
      <c r="E243" s="176" t="s">
        <v>647</v>
      </c>
      <c r="F243" s="34">
        <v>1</v>
      </c>
      <c r="G243" s="34">
        <v>1</v>
      </c>
      <c r="H243" s="22" t="s">
        <v>1817</v>
      </c>
      <c r="I243" s="1349"/>
      <c r="J243" s="32" t="s">
        <v>631</v>
      </c>
    </row>
    <row r="244" spans="1:10" ht="80.25" customHeight="1" x14ac:dyDescent="0.25">
      <c r="A244" s="22"/>
      <c r="B244" s="22"/>
      <c r="C244" s="21"/>
      <c r="D244" s="21"/>
      <c r="E244" s="176" t="s">
        <v>648</v>
      </c>
      <c r="F244" s="178">
        <v>1</v>
      </c>
      <c r="G244" s="34">
        <v>1</v>
      </c>
      <c r="H244" s="22" t="s">
        <v>1818</v>
      </c>
      <c r="I244" s="1350"/>
      <c r="J244" s="32" t="s">
        <v>631</v>
      </c>
    </row>
    <row r="245" spans="1:10" ht="42.75" customHeight="1" x14ac:dyDescent="0.25">
      <c r="A245" s="22"/>
      <c r="B245" s="22"/>
      <c r="C245" s="21"/>
      <c r="D245" s="21"/>
      <c r="E245" s="176" t="s">
        <v>651</v>
      </c>
      <c r="F245" s="178">
        <v>0.2</v>
      </c>
      <c r="G245" s="34">
        <v>0.7</v>
      </c>
      <c r="H245" s="22" t="s">
        <v>1815</v>
      </c>
      <c r="I245" s="58"/>
      <c r="J245" s="32"/>
    </row>
    <row r="246" spans="1:10" s="18" customFormat="1" ht="81" customHeight="1" x14ac:dyDescent="0.25">
      <c r="A246" s="21" t="s">
        <v>652</v>
      </c>
      <c r="B246" s="21" t="s">
        <v>653</v>
      </c>
      <c r="C246" s="21" t="s">
        <v>654</v>
      </c>
      <c r="D246" s="21" t="s">
        <v>655</v>
      </c>
      <c r="E246" s="21" t="s">
        <v>656</v>
      </c>
      <c r="F246" s="179" t="s">
        <v>657</v>
      </c>
      <c r="G246" s="179" t="s">
        <v>658</v>
      </c>
      <c r="H246" s="61" t="s">
        <v>659</v>
      </c>
      <c r="I246" s="87" t="s">
        <v>660</v>
      </c>
      <c r="J246" s="87" t="s">
        <v>661</v>
      </c>
    </row>
    <row r="247" spans="1:10" ht="50.25" customHeight="1" x14ac:dyDescent="0.25">
      <c r="A247" s="143"/>
      <c r="B247" s="143"/>
      <c r="C247" s="143"/>
      <c r="D247" s="143"/>
      <c r="E247" s="143" t="s">
        <v>662</v>
      </c>
      <c r="F247" s="180" t="s">
        <v>663</v>
      </c>
      <c r="G247" s="180" t="s">
        <v>664</v>
      </c>
      <c r="H247" s="181" t="s">
        <v>665</v>
      </c>
      <c r="I247" s="73" t="s">
        <v>660</v>
      </c>
      <c r="J247" s="73" t="s">
        <v>661</v>
      </c>
    </row>
    <row r="248" spans="1:10" ht="25.5" customHeight="1" x14ac:dyDescent="0.25">
      <c r="A248" s="143"/>
      <c r="B248" s="143"/>
      <c r="C248" s="143"/>
      <c r="D248" s="143"/>
      <c r="E248" s="182" t="s">
        <v>666</v>
      </c>
      <c r="F248" s="180" t="s">
        <v>667</v>
      </c>
      <c r="G248" s="180" t="s">
        <v>668</v>
      </c>
      <c r="H248" s="181"/>
      <c r="I248" s="73"/>
      <c r="J248" s="73"/>
    </row>
    <row r="249" spans="1:10" ht="28.5" customHeight="1" x14ac:dyDescent="0.25">
      <c r="A249" s="143"/>
      <c r="B249" s="143"/>
      <c r="C249" s="143"/>
      <c r="D249" s="143"/>
      <c r="E249" s="182" t="s">
        <v>669</v>
      </c>
      <c r="F249" s="180" t="s">
        <v>670</v>
      </c>
      <c r="G249" s="180" t="s">
        <v>671</v>
      </c>
      <c r="H249" s="181"/>
      <c r="I249" s="73" t="s">
        <v>660</v>
      </c>
      <c r="J249" s="73" t="s">
        <v>661</v>
      </c>
    </row>
    <row r="250" spans="1:10" ht="33" customHeight="1" x14ac:dyDescent="0.25">
      <c r="A250" s="143"/>
      <c r="B250" s="143"/>
      <c r="C250" s="143"/>
      <c r="D250" s="143"/>
      <c r="E250" s="143" t="s">
        <v>672</v>
      </c>
      <c r="F250" s="179" t="s">
        <v>673</v>
      </c>
      <c r="G250" s="179" t="s">
        <v>674</v>
      </c>
      <c r="H250" s="181"/>
      <c r="I250" s="73" t="s">
        <v>660</v>
      </c>
      <c r="J250" s="73" t="s">
        <v>661</v>
      </c>
    </row>
    <row r="251" spans="1:10" ht="25.5" customHeight="1" x14ac:dyDescent="0.25">
      <c r="A251" s="143"/>
      <c r="B251" s="143"/>
      <c r="C251" s="143"/>
      <c r="D251" s="143"/>
      <c r="E251" s="182" t="s">
        <v>675</v>
      </c>
      <c r="F251" s="179" t="s">
        <v>676</v>
      </c>
      <c r="G251" s="179" t="s">
        <v>677</v>
      </c>
      <c r="H251" s="181"/>
      <c r="I251" s="73"/>
      <c r="J251" s="73"/>
    </row>
    <row r="252" spans="1:10" ht="25.5" customHeight="1" x14ac:dyDescent="0.25">
      <c r="A252" s="143"/>
      <c r="B252" s="143"/>
      <c r="C252" s="143"/>
      <c r="D252" s="143"/>
      <c r="E252" s="182" t="s">
        <v>678</v>
      </c>
      <c r="F252" s="180" t="s">
        <v>679</v>
      </c>
      <c r="G252" s="180" t="s">
        <v>680</v>
      </c>
      <c r="H252" s="181"/>
      <c r="I252" s="73" t="s">
        <v>660</v>
      </c>
      <c r="J252" s="73" t="s">
        <v>661</v>
      </c>
    </row>
    <row r="253" spans="1:10" ht="37.5" customHeight="1" x14ac:dyDescent="0.25">
      <c r="A253" s="143"/>
      <c r="B253" s="143"/>
      <c r="C253" s="143"/>
      <c r="D253" s="143"/>
      <c r="E253" s="143" t="s">
        <v>681</v>
      </c>
      <c r="F253" s="179" t="s">
        <v>682</v>
      </c>
      <c r="G253" s="179" t="s">
        <v>682</v>
      </c>
      <c r="H253" s="181"/>
      <c r="I253" s="73" t="s">
        <v>660</v>
      </c>
      <c r="J253" s="73" t="s">
        <v>661</v>
      </c>
    </row>
    <row r="254" spans="1:10" ht="26.25" customHeight="1" x14ac:dyDescent="0.25">
      <c r="A254" s="143"/>
      <c r="B254" s="143"/>
      <c r="C254" s="143"/>
      <c r="D254" s="143"/>
      <c r="E254" s="182" t="s">
        <v>683</v>
      </c>
      <c r="F254" s="179" t="s">
        <v>684</v>
      </c>
      <c r="G254" s="179" t="s">
        <v>685</v>
      </c>
      <c r="H254" s="183"/>
      <c r="I254" s="73"/>
      <c r="J254" s="73"/>
    </row>
    <row r="255" spans="1:10" ht="30" customHeight="1" x14ac:dyDescent="0.25">
      <c r="A255" s="143"/>
      <c r="B255" s="143"/>
      <c r="C255" s="143"/>
      <c r="D255" s="143"/>
      <c r="E255" s="182" t="s">
        <v>686</v>
      </c>
      <c r="F255" s="180" t="s">
        <v>687</v>
      </c>
      <c r="G255" s="180" t="s">
        <v>688</v>
      </c>
      <c r="H255" s="143"/>
      <c r="I255" s="73" t="s">
        <v>660</v>
      </c>
      <c r="J255" s="73" t="s">
        <v>661</v>
      </c>
    </row>
    <row r="256" spans="1:10" ht="40.5" customHeight="1" x14ac:dyDescent="0.25">
      <c r="A256" s="143"/>
      <c r="B256" s="143"/>
      <c r="C256" s="143"/>
      <c r="D256" s="143"/>
      <c r="E256" s="143" t="s">
        <v>689</v>
      </c>
      <c r="F256" s="179" t="s">
        <v>690</v>
      </c>
      <c r="G256" s="179" t="s">
        <v>691</v>
      </c>
      <c r="H256" s="184"/>
      <c r="I256" s="73" t="s">
        <v>660</v>
      </c>
      <c r="J256" s="73" t="s">
        <v>661</v>
      </c>
    </row>
    <row r="257" spans="1:10" ht="83.25" customHeight="1" x14ac:dyDescent="0.25">
      <c r="A257" s="143"/>
      <c r="B257" s="143"/>
      <c r="C257" s="143"/>
      <c r="D257" s="143" t="s">
        <v>692</v>
      </c>
      <c r="E257" s="143" t="s">
        <v>693</v>
      </c>
      <c r="F257" s="185" t="s">
        <v>694</v>
      </c>
      <c r="G257" s="180" t="s">
        <v>695</v>
      </c>
      <c r="H257" s="183"/>
      <c r="I257" s="73" t="s">
        <v>660</v>
      </c>
      <c r="J257" s="73" t="s">
        <v>661</v>
      </c>
    </row>
    <row r="258" spans="1:10" ht="65.25" customHeight="1" x14ac:dyDescent="0.25">
      <c r="A258" s="143"/>
      <c r="B258" s="143"/>
      <c r="C258" s="143"/>
      <c r="D258" s="143"/>
      <c r="E258" s="143" t="s">
        <v>696</v>
      </c>
      <c r="F258" s="180" t="s">
        <v>697</v>
      </c>
      <c r="G258" s="180" t="s">
        <v>698</v>
      </c>
      <c r="H258" s="184"/>
      <c r="I258" s="73" t="s">
        <v>660</v>
      </c>
      <c r="J258" s="73" t="s">
        <v>661</v>
      </c>
    </row>
    <row r="259" spans="1:10" ht="65.25" customHeight="1" x14ac:dyDescent="0.25">
      <c r="A259" s="143"/>
      <c r="B259" s="143"/>
      <c r="C259" s="143"/>
      <c r="D259" s="143"/>
      <c r="E259" s="143" t="s">
        <v>699</v>
      </c>
      <c r="F259" s="180" t="s">
        <v>700</v>
      </c>
      <c r="G259" s="180" t="s">
        <v>701</v>
      </c>
      <c r="H259" s="184"/>
      <c r="I259" s="73" t="s">
        <v>660</v>
      </c>
      <c r="J259" s="73" t="s">
        <v>661</v>
      </c>
    </row>
    <row r="260" spans="1:10" ht="68.25" customHeight="1" x14ac:dyDescent="0.25">
      <c r="A260" s="143"/>
      <c r="B260" s="143"/>
      <c r="C260" s="143"/>
      <c r="D260" s="143"/>
      <c r="E260" s="143" t="s">
        <v>702</v>
      </c>
      <c r="F260" s="180" t="s">
        <v>703</v>
      </c>
      <c r="G260" s="180" t="s">
        <v>704</v>
      </c>
      <c r="H260" s="184"/>
      <c r="I260" s="73" t="s">
        <v>660</v>
      </c>
      <c r="J260" s="73" t="s">
        <v>661</v>
      </c>
    </row>
    <row r="261" spans="1:10" ht="91.5" customHeight="1" x14ac:dyDescent="0.25">
      <c r="A261" s="143"/>
      <c r="B261" s="143"/>
      <c r="C261" s="143"/>
      <c r="D261" s="143"/>
      <c r="E261" s="143" t="s">
        <v>705</v>
      </c>
      <c r="F261" s="180" t="s">
        <v>706</v>
      </c>
      <c r="G261" s="185" t="s">
        <v>707</v>
      </c>
      <c r="H261" s="184"/>
      <c r="I261" s="73" t="s">
        <v>660</v>
      </c>
      <c r="J261" s="73" t="s">
        <v>661</v>
      </c>
    </row>
    <row r="262" spans="1:10" ht="90" customHeight="1" x14ac:dyDescent="0.25">
      <c r="A262" s="143"/>
      <c r="B262" s="143"/>
      <c r="C262" s="143"/>
      <c r="D262" s="143"/>
      <c r="E262" s="143" t="s">
        <v>708</v>
      </c>
      <c r="F262" s="180" t="s">
        <v>709</v>
      </c>
      <c r="G262" s="180" t="s">
        <v>710</v>
      </c>
      <c r="H262" s="184"/>
      <c r="I262" s="73" t="s">
        <v>660</v>
      </c>
      <c r="J262" s="73" t="s">
        <v>661</v>
      </c>
    </row>
    <row r="263" spans="1:10" ht="70.5" customHeight="1" x14ac:dyDescent="0.25">
      <c r="A263" s="143"/>
      <c r="B263" s="143"/>
      <c r="C263" s="143"/>
      <c r="D263" s="143"/>
      <c r="E263" s="143" t="s">
        <v>711</v>
      </c>
      <c r="F263" s="180" t="s">
        <v>712</v>
      </c>
      <c r="G263" s="180" t="s">
        <v>713</v>
      </c>
      <c r="H263" s="184"/>
      <c r="I263" s="73" t="s">
        <v>660</v>
      </c>
      <c r="J263" s="73" t="s">
        <v>661</v>
      </c>
    </row>
    <row r="264" spans="1:10" ht="86.25" customHeight="1" x14ac:dyDescent="0.25">
      <c r="A264" s="143"/>
      <c r="B264" s="143"/>
      <c r="C264" s="143"/>
      <c r="D264" s="143" t="s">
        <v>714</v>
      </c>
      <c r="E264" s="135" t="s">
        <v>715</v>
      </c>
      <c r="F264" s="180" t="s">
        <v>716</v>
      </c>
      <c r="G264" s="180" t="s">
        <v>717</v>
      </c>
      <c r="H264" s="183"/>
      <c r="I264" s="73" t="s">
        <v>660</v>
      </c>
      <c r="J264" s="73" t="s">
        <v>661</v>
      </c>
    </row>
    <row r="265" spans="1:10" ht="87" customHeight="1" x14ac:dyDescent="0.25">
      <c r="A265" s="143"/>
      <c r="B265" s="143"/>
      <c r="C265" s="143"/>
      <c r="D265" s="143"/>
      <c r="E265" s="143" t="s">
        <v>718</v>
      </c>
      <c r="F265" s="180" t="s">
        <v>719</v>
      </c>
      <c r="G265" s="186">
        <v>1</v>
      </c>
      <c r="H265" s="184"/>
      <c r="I265" s="73" t="s">
        <v>660</v>
      </c>
      <c r="J265" s="73" t="s">
        <v>661</v>
      </c>
    </row>
    <row r="266" spans="1:10" ht="81" customHeight="1" x14ac:dyDescent="0.25">
      <c r="A266" s="143"/>
      <c r="B266" s="143"/>
      <c r="C266" s="143"/>
      <c r="D266" s="143"/>
      <c r="E266" s="143" t="s">
        <v>720</v>
      </c>
      <c r="F266" s="180" t="s">
        <v>721</v>
      </c>
      <c r="G266" s="180" t="s">
        <v>722</v>
      </c>
      <c r="H266" s="184"/>
      <c r="I266" s="73" t="s">
        <v>660</v>
      </c>
      <c r="J266" s="73" t="s">
        <v>661</v>
      </c>
    </row>
    <row r="267" spans="1:10" ht="78.75" customHeight="1" x14ac:dyDescent="0.25">
      <c r="A267" s="143"/>
      <c r="B267" s="143"/>
      <c r="C267" s="143"/>
      <c r="D267" s="143"/>
      <c r="E267" s="143" t="s">
        <v>723</v>
      </c>
      <c r="F267" s="180" t="s">
        <v>721</v>
      </c>
      <c r="G267" s="186">
        <v>1</v>
      </c>
      <c r="H267" s="184"/>
      <c r="I267" s="73" t="s">
        <v>660</v>
      </c>
      <c r="J267" s="73" t="s">
        <v>661</v>
      </c>
    </row>
    <row r="268" spans="1:10" ht="106.5" customHeight="1" x14ac:dyDescent="0.25">
      <c r="A268" s="143"/>
      <c r="B268" s="143"/>
      <c r="C268" s="143"/>
      <c r="D268" s="143"/>
      <c r="E268" s="143" t="s">
        <v>724</v>
      </c>
      <c r="F268" s="180" t="s">
        <v>719</v>
      </c>
      <c r="G268" s="180" t="s">
        <v>719</v>
      </c>
      <c r="H268" s="184"/>
      <c r="I268" s="73" t="s">
        <v>660</v>
      </c>
      <c r="J268" s="73" t="s">
        <v>661</v>
      </c>
    </row>
    <row r="269" spans="1:10" ht="100.5" customHeight="1" x14ac:dyDescent="0.25">
      <c r="A269" s="143"/>
      <c r="B269" s="143"/>
      <c r="C269" s="143"/>
      <c r="D269" s="143"/>
      <c r="E269" s="143" t="s">
        <v>725</v>
      </c>
      <c r="F269" s="180" t="s">
        <v>726</v>
      </c>
      <c r="G269" s="180" t="s">
        <v>719</v>
      </c>
      <c r="H269" s="184"/>
      <c r="I269" s="73" t="s">
        <v>660</v>
      </c>
      <c r="J269" s="73" t="s">
        <v>661</v>
      </c>
    </row>
    <row r="270" spans="1:10" ht="76.5" customHeight="1" x14ac:dyDescent="0.25">
      <c r="A270" s="143"/>
      <c r="B270" s="143"/>
      <c r="C270" s="143"/>
      <c r="D270" s="143"/>
      <c r="E270" s="143" t="s">
        <v>727</v>
      </c>
      <c r="F270" s="180" t="s">
        <v>728</v>
      </c>
      <c r="G270" s="180" t="s">
        <v>729</v>
      </c>
      <c r="H270" s="184"/>
      <c r="I270" s="73" t="s">
        <v>660</v>
      </c>
      <c r="J270" s="73" t="s">
        <v>661</v>
      </c>
    </row>
    <row r="271" spans="1:10" ht="64.5" customHeight="1" x14ac:dyDescent="0.25">
      <c r="A271" s="143"/>
      <c r="B271" s="143"/>
      <c r="C271" s="143"/>
      <c r="D271" s="187"/>
      <c r="E271" s="143" t="s">
        <v>730</v>
      </c>
      <c r="F271" s="180" t="s">
        <v>731</v>
      </c>
      <c r="G271" s="180" t="s">
        <v>731</v>
      </c>
      <c r="H271" s="187"/>
      <c r="I271" s="73" t="s">
        <v>660</v>
      </c>
      <c r="J271" s="73" t="s">
        <v>661</v>
      </c>
    </row>
    <row r="272" spans="1:10" ht="43.5" customHeight="1" x14ac:dyDescent="0.25">
      <c r="A272" s="143"/>
      <c r="B272" s="143"/>
      <c r="C272" s="143"/>
      <c r="D272" s="143"/>
      <c r="E272" s="187" t="s">
        <v>732</v>
      </c>
      <c r="F272" s="180" t="s">
        <v>733</v>
      </c>
      <c r="G272" s="180" t="s">
        <v>734</v>
      </c>
      <c r="H272" s="187" t="s">
        <v>735</v>
      </c>
      <c r="I272" s="73" t="s">
        <v>660</v>
      </c>
      <c r="J272" s="73" t="s">
        <v>661</v>
      </c>
    </row>
    <row r="273" spans="1:10" ht="47.25" customHeight="1" x14ac:dyDescent="0.25">
      <c r="A273" s="143"/>
      <c r="B273" s="143"/>
      <c r="C273" s="143"/>
      <c r="D273" s="143"/>
      <c r="E273" s="187" t="s">
        <v>736</v>
      </c>
      <c r="F273" s="180" t="s">
        <v>737</v>
      </c>
      <c r="G273" s="180" t="s">
        <v>738</v>
      </c>
      <c r="H273" s="187"/>
      <c r="I273" s="73" t="s">
        <v>660</v>
      </c>
      <c r="J273" s="73" t="s">
        <v>661</v>
      </c>
    </row>
    <row r="274" spans="1:10" ht="42.75" customHeight="1" x14ac:dyDescent="0.25">
      <c r="A274" s="143"/>
      <c r="B274" s="143"/>
      <c r="C274" s="143"/>
      <c r="D274" s="143"/>
      <c r="E274" s="143" t="s">
        <v>739</v>
      </c>
      <c r="F274" s="180" t="s">
        <v>740</v>
      </c>
      <c r="G274" s="180" t="s">
        <v>740</v>
      </c>
      <c r="H274" s="187"/>
      <c r="I274" s="73" t="s">
        <v>660</v>
      </c>
      <c r="J274" s="73" t="s">
        <v>661</v>
      </c>
    </row>
    <row r="275" spans="1:10" ht="66.75" customHeight="1" x14ac:dyDescent="0.25">
      <c r="A275" s="143"/>
      <c r="B275" s="143"/>
      <c r="C275" s="143"/>
      <c r="D275" s="143" t="s">
        <v>741</v>
      </c>
      <c r="E275" s="143" t="s">
        <v>742</v>
      </c>
      <c r="F275" s="180" t="s">
        <v>743</v>
      </c>
      <c r="G275" s="180" t="s">
        <v>743</v>
      </c>
      <c r="H275" s="188"/>
      <c r="I275" s="73" t="s">
        <v>660</v>
      </c>
      <c r="J275" s="73" t="s">
        <v>661</v>
      </c>
    </row>
    <row r="276" spans="1:10" ht="61.5" customHeight="1" x14ac:dyDescent="0.25">
      <c r="A276" s="143"/>
      <c r="B276" s="143"/>
      <c r="C276" s="143"/>
      <c r="D276" s="143"/>
      <c r="E276" s="143" t="s">
        <v>744</v>
      </c>
      <c r="F276" s="189" t="s">
        <v>745</v>
      </c>
      <c r="G276" s="189" t="s">
        <v>746</v>
      </c>
      <c r="H276" s="184"/>
      <c r="I276" s="73" t="s">
        <v>660</v>
      </c>
      <c r="J276" s="73" t="s">
        <v>661</v>
      </c>
    </row>
    <row r="277" spans="1:10" ht="69.75" customHeight="1" x14ac:dyDescent="0.25">
      <c r="A277" s="143"/>
      <c r="B277" s="143"/>
      <c r="C277" s="143"/>
      <c r="D277" s="143"/>
      <c r="E277" s="143" t="s">
        <v>747</v>
      </c>
      <c r="F277" s="180" t="s">
        <v>748</v>
      </c>
      <c r="G277" s="180" t="s">
        <v>748</v>
      </c>
      <c r="H277" s="184"/>
      <c r="I277" s="73" t="s">
        <v>660</v>
      </c>
      <c r="J277" s="73" t="s">
        <v>661</v>
      </c>
    </row>
    <row r="278" spans="1:10" ht="112.5" customHeight="1" x14ac:dyDescent="0.25">
      <c r="A278" s="143"/>
      <c r="B278" s="143"/>
      <c r="C278" s="143"/>
      <c r="D278" s="143" t="s">
        <v>749</v>
      </c>
      <c r="E278" s="143" t="s">
        <v>750</v>
      </c>
      <c r="F278" s="180" t="s">
        <v>751</v>
      </c>
      <c r="G278" s="180" t="s">
        <v>752</v>
      </c>
      <c r="H278" s="184"/>
      <c r="I278" s="73" t="s">
        <v>660</v>
      </c>
      <c r="J278" s="73" t="s">
        <v>661</v>
      </c>
    </row>
    <row r="279" spans="1:10" ht="81" customHeight="1" x14ac:dyDescent="0.25">
      <c r="A279" s="143"/>
      <c r="B279" s="143"/>
      <c r="C279" s="143" t="s">
        <v>753</v>
      </c>
      <c r="D279" s="143" t="s">
        <v>754</v>
      </c>
      <c r="E279" s="143" t="s">
        <v>755</v>
      </c>
      <c r="F279" s="180" t="s">
        <v>756</v>
      </c>
      <c r="G279" s="180" t="s">
        <v>757</v>
      </c>
      <c r="H279" s="1379" t="s">
        <v>758</v>
      </c>
      <c r="I279" s="73" t="s">
        <v>660</v>
      </c>
      <c r="J279" s="73" t="s">
        <v>661</v>
      </c>
    </row>
    <row r="280" spans="1:10" ht="66.75" customHeight="1" x14ac:dyDescent="0.25">
      <c r="A280" s="143"/>
      <c r="B280" s="143"/>
      <c r="C280" s="143"/>
      <c r="D280" s="143"/>
      <c r="E280" s="143" t="s">
        <v>759</v>
      </c>
      <c r="F280" s="180" t="s">
        <v>760</v>
      </c>
      <c r="G280" s="186">
        <v>1</v>
      </c>
      <c r="H280" s="1379"/>
      <c r="I280" s="73" t="s">
        <v>660</v>
      </c>
      <c r="J280" s="73" t="s">
        <v>661</v>
      </c>
    </row>
    <row r="281" spans="1:10" ht="53.25" customHeight="1" x14ac:dyDescent="0.25">
      <c r="A281" s="143"/>
      <c r="B281" s="143"/>
      <c r="C281" s="143"/>
      <c r="D281" s="143"/>
      <c r="E281" s="143" t="s">
        <v>761</v>
      </c>
      <c r="F281" s="180" t="s">
        <v>762</v>
      </c>
      <c r="G281" s="180" t="s">
        <v>763</v>
      </c>
      <c r="H281" s="1379"/>
      <c r="I281" s="73" t="s">
        <v>660</v>
      </c>
      <c r="J281" s="73" t="s">
        <v>661</v>
      </c>
    </row>
    <row r="282" spans="1:10" ht="97.5" customHeight="1" x14ac:dyDescent="0.25">
      <c r="A282" s="143"/>
      <c r="B282" s="143"/>
      <c r="C282" s="143"/>
      <c r="D282" s="143"/>
      <c r="E282" s="143" t="s">
        <v>764</v>
      </c>
      <c r="F282" s="180" t="s">
        <v>765</v>
      </c>
      <c r="G282" s="180" t="s">
        <v>766</v>
      </c>
      <c r="H282" s="1379"/>
      <c r="I282" s="73" t="s">
        <v>660</v>
      </c>
      <c r="J282" s="73" t="s">
        <v>661</v>
      </c>
    </row>
    <row r="283" spans="1:10" ht="70.5" customHeight="1" x14ac:dyDescent="0.25">
      <c r="A283" s="20" t="s">
        <v>767</v>
      </c>
      <c r="B283" s="20" t="s">
        <v>768</v>
      </c>
      <c r="C283" s="61" t="s">
        <v>769</v>
      </c>
      <c r="D283" s="27" t="s">
        <v>770</v>
      </c>
      <c r="E283" s="30" t="s">
        <v>771</v>
      </c>
      <c r="F283" s="32" t="s">
        <v>772</v>
      </c>
      <c r="G283" s="32" t="s">
        <v>773</v>
      </c>
      <c r="H283" s="1429" t="s">
        <v>774</v>
      </c>
      <c r="I283" s="81"/>
      <c r="J283" s="32" t="s">
        <v>775</v>
      </c>
    </row>
    <row r="284" spans="1:10" ht="72.75" customHeight="1" x14ac:dyDescent="0.25">
      <c r="A284" s="81"/>
      <c r="B284" s="81"/>
      <c r="C284" s="81"/>
      <c r="D284" s="81"/>
      <c r="E284" s="83" t="s">
        <v>776</v>
      </c>
      <c r="F284" s="32" t="s">
        <v>772</v>
      </c>
      <c r="G284" s="32" t="s">
        <v>777</v>
      </c>
      <c r="H284" s="1435"/>
      <c r="I284" s="81"/>
      <c r="J284" s="32" t="s">
        <v>775</v>
      </c>
    </row>
    <row r="285" spans="1:10" ht="47.25" customHeight="1" x14ac:dyDescent="0.25">
      <c r="A285" s="81"/>
      <c r="B285" s="81"/>
      <c r="C285" s="81"/>
      <c r="D285" s="81"/>
      <c r="E285" s="83" t="s">
        <v>778</v>
      </c>
      <c r="F285" s="32" t="s">
        <v>779</v>
      </c>
      <c r="G285" s="32" t="s">
        <v>780</v>
      </c>
      <c r="H285" s="1435"/>
      <c r="I285" s="81"/>
      <c r="J285" s="32" t="s">
        <v>775</v>
      </c>
    </row>
    <row r="286" spans="1:10" ht="52.5" customHeight="1" x14ac:dyDescent="0.25">
      <c r="A286" s="81"/>
      <c r="B286" s="81"/>
      <c r="C286" s="81"/>
      <c r="D286" s="81"/>
      <c r="E286" s="83" t="s">
        <v>781</v>
      </c>
      <c r="F286" s="32" t="s">
        <v>782</v>
      </c>
      <c r="G286" s="32" t="s">
        <v>783</v>
      </c>
      <c r="H286" s="1435"/>
      <c r="I286" s="81"/>
      <c r="J286" s="32" t="s">
        <v>775</v>
      </c>
    </row>
    <row r="287" spans="1:10" ht="44.25" customHeight="1" x14ac:dyDescent="0.25">
      <c r="A287" s="81"/>
      <c r="B287" s="81"/>
      <c r="C287" s="81"/>
      <c r="D287" s="81"/>
      <c r="E287" s="83" t="s">
        <v>784</v>
      </c>
      <c r="F287" s="32" t="s">
        <v>438</v>
      </c>
      <c r="G287" s="32" t="s">
        <v>785</v>
      </c>
      <c r="H287" s="1435"/>
      <c r="I287" s="81"/>
      <c r="J287" s="32" t="s">
        <v>775</v>
      </c>
    </row>
    <row r="288" spans="1:10" ht="42.75" customHeight="1" x14ac:dyDescent="0.25">
      <c r="A288" s="81"/>
      <c r="B288" s="81"/>
      <c r="C288" s="81"/>
      <c r="D288" s="81"/>
      <c r="E288" s="83" t="s">
        <v>786</v>
      </c>
      <c r="F288" s="32" t="s">
        <v>787</v>
      </c>
      <c r="G288" s="32" t="s">
        <v>788</v>
      </c>
      <c r="H288" s="1435"/>
      <c r="I288" s="81"/>
      <c r="J288" s="32" t="s">
        <v>775</v>
      </c>
    </row>
    <row r="289" spans="1:10" ht="66" customHeight="1" x14ac:dyDescent="0.25">
      <c r="A289" s="81"/>
      <c r="B289" s="81"/>
      <c r="C289" s="61" t="s">
        <v>789</v>
      </c>
      <c r="D289" s="1335" t="s">
        <v>790</v>
      </c>
      <c r="E289" s="30" t="s">
        <v>791</v>
      </c>
      <c r="F289" s="32" t="s">
        <v>792</v>
      </c>
      <c r="G289" s="32" t="s">
        <v>793</v>
      </c>
      <c r="H289" s="1435"/>
      <c r="I289" s="81"/>
      <c r="J289" s="32" t="s">
        <v>775</v>
      </c>
    </row>
    <row r="290" spans="1:10" ht="43.5" customHeight="1" x14ac:dyDescent="0.25">
      <c r="A290" s="81"/>
      <c r="B290" s="81"/>
      <c r="C290" s="81"/>
      <c r="D290" s="1336"/>
      <c r="E290" s="83" t="s">
        <v>794</v>
      </c>
      <c r="F290" s="32">
        <v>305</v>
      </c>
      <c r="G290" s="32">
        <v>381</v>
      </c>
      <c r="H290" s="1435"/>
      <c r="I290" s="81"/>
      <c r="J290" s="32" t="s">
        <v>775</v>
      </c>
    </row>
    <row r="291" spans="1:10" ht="57" customHeight="1" x14ac:dyDescent="0.25">
      <c r="A291" s="81"/>
      <c r="B291" s="81"/>
      <c r="C291" s="81"/>
      <c r="D291" s="27" t="s">
        <v>795</v>
      </c>
      <c r="E291" s="83" t="s">
        <v>796</v>
      </c>
      <c r="F291" s="191" t="s">
        <v>217</v>
      </c>
      <c r="G291" s="32" t="s">
        <v>797</v>
      </c>
      <c r="H291" s="1435"/>
      <c r="I291" s="81"/>
      <c r="J291" s="32" t="s">
        <v>775</v>
      </c>
    </row>
    <row r="292" spans="1:10" ht="77.25" customHeight="1" x14ac:dyDescent="0.25">
      <c r="A292" s="81"/>
      <c r="B292" s="81"/>
      <c r="C292" s="81"/>
      <c r="D292" s="27" t="s">
        <v>798</v>
      </c>
      <c r="E292" s="83" t="s">
        <v>799</v>
      </c>
      <c r="F292" s="191" t="s">
        <v>217</v>
      </c>
      <c r="G292" s="32" t="s">
        <v>800</v>
      </c>
      <c r="H292" s="1430"/>
      <c r="I292" s="81"/>
      <c r="J292" s="32" t="s">
        <v>775</v>
      </c>
    </row>
    <row r="293" spans="1:10" ht="90.75" customHeight="1" x14ac:dyDescent="0.25">
      <c r="A293" s="82" t="s">
        <v>801</v>
      </c>
      <c r="B293" s="82" t="s">
        <v>802</v>
      </c>
      <c r="C293" s="21" t="s">
        <v>803</v>
      </c>
      <c r="D293" s="21" t="s">
        <v>804</v>
      </c>
      <c r="E293" s="83" t="s">
        <v>805</v>
      </c>
      <c r="F293" s="65" t="s">
        <v>806</v>
      </c>
      <c r="G293" s="68" t="s">
        <v>807</v>
      </c>
      <c r="H293" s="192" t="s">
        <v>808</v>
      </c>
      <c r="I293" s="68" t="s">
        <v>809</v>
      </c>
      <c r="J293" s="77" t="s">
        <v>384</v>
      </c>
    </row>
    <row r="294" spans="1:10" ht="43.5" customHeight="1" x14ac:dyDescent="0.25">
      <c r="A294" s="82"/>
      <c r="B294" s="82"/>
      <c r="C294" s="21"/>
      <c r="D294" s="21"/>
      <c r="E294" s="83" t="s">
        <v>810</v>
      </c>
      <c r="F294" s="68" t="s">
        <v>811</v>
      </c>
      <c r="G294" s="68" t="s">
        <v>812</v>
      </c>
      <c r="H294" s="192" t="s">
        <v>813</v>
      </c>
      <c r="I294" s="68" t="s">
        <v>809</v>
      </c>
      <c r="J294" s="77" t="s">
        <v>384</v>
      </c>
    </row>
    <row r="295" spans="1:10" ht="81" customHeight="1" x14ac:dyDescent="0.25">
      <c r="A295" s="82"/>
      <c r="B295" s="82"/>
      <c r="C295" s="21"/>
      <c r="D295" s="21"/>
      <c r="E295" s="41" t="s">
        <v>814</v>
      </c>
      <c r="F295" s="73" t="s">
        <v>815</v>
      </c>
      <c r="G295" s="73" t="s">
        <v>816</v>
      </c>
      <c r="H295" s="22" t="s">
        <v>817</v>
      </c>
      <c r="I295" s="68" t="s">
        <v>809</v>
      </c>
      <c r="J295" s="77" t="s">
        <v>384</v>
      </c>
    </row>
    <row r="296" spans="1:10" ht="57.75" customHeight="1" x14ac:dyDescent="0.25">
      <c r="A296" s="82"/>
      <c r="B296" s="82"/>
      <c r="C296" s="21"/>
      <c r="D296" s="21"/>
      <c r="E296" s="83" t="s">
        <v>818</v>
      </c>
      <c r="F296" s="193">
        <v>0</v>
      </c>
      <c r="G296" s="65" t="s">
        <v>819</v>
      </c>
      <c r="H296" s="22" t="s">
        <v>820</v>
      </c>
      <c r="I296" s="68" t="s">
        <v>809</v>
      </c>
      <c r="J296" s="77" t="s">
        <v>384</v>
      </c>
    </row>
    <row r="297" spans="1:10" ht="55.5" customHeight="1" x14ac:dyDescent="0.25">
      <c r="A297" s="82"/>
      <c r="B297" s="82"/>
      <c r="C297" s="21"/>
      <c r="D297" s="21"/>
      <c r="E297" s="83" t="s">
        <v>821</v>
      </c>
      <c r="F297" s="68" t="s">
        <v>822</v>
      </c>
      <c r="G297" s="68" t="s">
        <v>823</v>
      </c>
      <c r="H297" s="194"/>
      <c r="I297" s="68" t="s">
        <v>809</v>
      </c>
      <c r="J297" s="77" t="s">
        <v>384</v>
      </c>
    </row>
    <row r="298" spans="1:10" ht="45" customHeight="1" x14ac:dyDescent="0.25">
      <c r="A298" s="82"/>
      <c r="B298" s="82"/>
      <c r="C298" s="21"/>
      <c r="D298" s="21"/>
      <c r="E298" s="83" t="s">
        <v>824</v>
      </c>
      <c r="F298" s="193" t="s">
        <v>825</v>
      </c>
      <c r="G298" s="73" t="s">
        <v>826</v>
      </c>
      <c r="H298" s="194"/>
      <c r="I298" s="68" t="s">
        <v>809</v>
      </c>
      <c r="J298" s="77" t="s">
        <v>384</v>
      </c>
    </row>
    <row r="299" spans="1:10" ht="78" customHeight="1" x14ac:dyDescent="0.25">
      <c r="A299" s="82"/>
      <c r="B299" s="82"/>
      <c r="C299" s="21"/>
      <c r="D299" s="21"/>
      <c r="E299" s="41" t="s">
        <v>827</v>
      </c>
      <c r="F299" s="65" t="s">
        <v>807</v>
      </c>
      <c r="G299" s="65">
        <v>1</v>
      </c>
      <c r="H299" s="194"/>
      <c r="I299" s="68" t="s">
        <v>809</v>
      </c>
      <c r="J299" s="77" t="s">
        <v>384</v>
      </c>
    </row>
    <row r="300" spans="1:10" ht="53.25" customHeight="1" x14ac:dyDescent="0.25">
      <c r="A300" s="82"/>
      <c r="B300" s="82"/>
      <c r="C300" s="21" t="s">
        <v>828</v>
      </c>
      <c r="D300" s="21"/>
      <c r="E300" s="83" t="s">
        <v>829</v>
      </c>
      <c r="F300" s="193">
        <v>0</v>
      </c>
      <c r="G300" s="193">
        <v>0.5</v>
      </c>
      <c r="H300" s="194"/>
      <c r="I300" s="68" t="s">
        <v>809</v>
      </c>
      <c r="J300" s="77" t="s">
        <v>384</v>
      </c>
    </row>
    <row r="301" spans="1:10" ht="39" customHeight="1" x14ac:dyDescent="0.25">
      <c r="A301" s="82"/>
      <c r="B301" s="82"/>
      <c r="C301" s="21"/>
      <c r="D301" s="21"/>
      <c r="E301" s="83" t="s">
        <v>830</v>
      </c>
      <c r="F301" s="193">
        <v>0.95</v>
      </c>
      <c r="G301" s="193">
        <v>1</v>
      </c>
      <c r="H301" s="194"/>
      <c r="I301" s="68" t="s">
        <v>809</v>
      </c>
      <c r="J301" s="77" t="s">
        <v>384</v>
      </c>
    </row>
    <row r="302" spans="1:10" ht="37.5" customHeight="1" x14ac:dyDescent="0.25">
      <c r="A302" s="82"/>
      <c r="B302" s="82"/>
      <c r="C302" s="21"/>
      <c r="D302" s="21"/>
      <c r="E302" s="83" t="s">
        <v>831</v>
      </c>
      <c r="F302" s="73" t="s">
        <v>832</v>
      </c>
      <c r="G302" s="195" t="s">
        <v>833</v>
      </c>
      <c r="H302" s="194"/>
      <c r="I302" s="68" t="s">
        <v>809</v>
      </c>
      <c r="J302" s="77" t="s">
        <v>384</v>
      </c>
    </row>
    <row r="303" spans="1:10" ht="46.5" customHeight="1" x14ac:dyDescent="0.25">
      <c r="A303" s="82"/>
      <c r="B303" s="82"/>
      <c r="C303" s="21"/>
      <c r="D303" s="21"/>
      <c r="E303" s="41" t="s">
        <v>834</v>
      </c>
      <c r="F303" s="195" t="s">
        <v>835</v>
      </c>
      <c r="G303" s="195" t="s">
        <v>836</v>
      </c>
      <c r="H303" s="194"/>
      <c r="I303" s="68" t="s">
        <v>809</v>
      </c>
      <c r="J303" s="68" t="s">
        <v>384</v>
      </c>
    </row>
    <row r="304" spans="1:10" ht="93.75" customHeight="1" x14ac:dyDescent="0.25">
      <c r="A304" s="82" t="s">
        <v>837</v>
      </c>
      <c r="B304" s="82" t="s">
        <v>838</v>
      </c>
      <c r="C304" s="27" t="s">
        <v>839</v>
      </c>
      <c r="D304" s="27" t="s">
        <v>840</v>
      </c>
      <c r="E304" s="83" t="s">
        <v>841</v>
      </c>
      <c r="F304" s="65">
        <v>0.43</v>
      </c>
      <c r="G304" s="65">
        <v>0.88</v>
      </c>
      <c r="H304" s="187" t="s">
        <v>842</v>
      </c>
      <c r="I304" s="68" t="s">
        <v>843</v>
      </c>
      <c r="J304" s="32" t="s">
        <v>844</v>
      </c>
    </row>
    <row r="305" spans="1:10" ht="63" customHeight="1" x14ac:dyDescent="0.25">
      <c r="A305" s="82"/>
      <c r="B305" s="82"/>
      <c r="C305" s="27"/>
      <c r="D305" s="115"/>
      <c r="E305" s="83" t="s">
        <v>845</v>
      </c>
      <c r="F305" s="137">
        <v>0.51</v>
      </c>
      <c r="G305" s="137">
        <v>1</v>
      </c>
      <c r="H305" s="61" t="s">
        <v>846</v>
      </c>
      <c r="I305" s="68" t="s">
        <v>843</v>
      </c>
      <c r="J305" s="32" t="s">
        <v>844</v>
      </c>
    </row>
    <row r="306" spans="1:10" ht="62.25" customHeight="1" x14ac:dyDescent="0.25">
      <c r="A306" s="22"/>
      <c r="B306" s="22"/>
      <c r="C306" s="22"/>
      <c r="D306" s="22"/>
      <c r="E306" s="22" t="s">
        <v>847</v>
      </c>
      <c r="F306" s="196">
        <v>0</v>
      </c>
      <c r="G306" s="196">
        <v>1</v>
      </c>
      <c r="H306" s="1429" t="s">
        <v>848</v>
      </c>
      <c r="I306" s="1363" t="s">
        <v>849</v>
      </c>
      <c r="J306" s="1369" t="s">
        <v>850</v>
      </c>
    </row>
    <row r="307" spans="1:10" ht="81" customHeight="1" x14ac:dyDescent="0.25">
      <c r="A307" s="22"/>
      <c r="B307" s="22"/>
      <c r="C307" s="22"/>
      <c r="D307" s="22"/>
      <c r="E307" s="57" t="s">
        <v>851</v>
      </c>
      <c r="F307" s="34">
        <v>1</v>
      </c>
      <c r="G307" s="34">
        <v>1</v>
      </c>
      <c r="H307" s="1430"/>
      <c r="I307" s="1363"/>
      <c r="J307" s="1369"/>
    </row>
    <row r="308" spans="1:10" ht="82.5" customHeight="1" x14ac:dyDescent="0.25">
      <c r="A308" s="82"/>
      <c r="B308" s="82"/>
      <c r="C308" s="27"/>
      <c r="D308" s="115"/>
      <c r="E308" s="83" t="s">
        <v>852</v>
      </c>
      <c r="F308" s="197" t="s">
        <v>853</v>
      </c>
      <c r="G308" s="197" t="s">
        <v>853</v>
      </c>
      <c r="H308" s="187"/>
      <c r="I308" s="68" t="s">
        <v>843</v>
      </c>
      <c r="J308" s="32" t="s">
        <v>844</v>
      </c>
    </row>
    <row r="309" spans="1:10" ht="69.75" customHeight="1" x14ac:dyDescent="0.25">
      <c r="A309" s="82"/>
      <c r="B309" s="82"/>
      <c r="C309" s="27"/>
      <c r="D309" s="27" t="s">
        <v>854</v>
      </c>
      <c r="E309" s="83" t="s">
        <v>855</v>
      </c>
      <c r="F309" s="137">
        <v>0.51</v>
      </c>
      <c r="G309" s="137">
        <v>0.77</v>
      </c>
      <c r="H309" s="21" t="s">
        <v>856</v>
      </c>
      <c r="I309" s="68" t="s">
        <v>843</v>
      </c>
      <c r="J309" s="32" t="s">
        <v>844</v>
      </c>
    </row>
    <row r="310" spans="1:10" ht="65.25" customHeight="1" x14ac:dyDescent="0.25">
      <c r="A310" s="82"/>
      <c r="B310" s="82"/>
      <c r="C310" s="27"/>
      <c r="D310" s="115"/>
      <c r="E310" s="83" t="s">
        <v>857</v>
      </c>
      <c r="F310" s="197" t="s">
        <v>858</v>
      </c>
      <c r="G310" s="197" t="s">
        <v>858</v>
      </c>
      <c r="H310" s="21"/>
      <c r="I310" s="68" t="s">
        <v>843</v>
      </c>
      <c r="J310" s="32" t="s">
        <v>844</v>
      </c>
    </row>
    <row r="311" spans="1:10" ht="87.75" customHeight="1" x14ac:dyDescent="0.25">
      <c r="A311" s="22" t="s">
        <v>859</v>
      </c>
      <c r="B311" s="22" t="s">
        <v>860</v>
      </c>
      <c r="C311" s="22" t="s">
        <v>861</v>
      </c>
      <c r="D311" s="27" t="s">
        <v>862</v>
      </c>
      <c r="E311" s="27" t="s">
        <v>863</v>
      </c>
      <c r="F311" s="1373"/>
      <c r="G311" s="1374"/>
      <c r="H311" s="1375" t="s">
        <v>1872</v>
      </c>
      <c r="I311" s="1349" t="s">
        <v>865</v>
      </c>
      <c r="J311" s="58"/>
    </row>
    <row r="312" spans="1:10" ht="30" customHeight="1" x14ac:dyDescent="0.25">
      <c r="A312" s="22"/>
      <c r="B312" s="22"/>
      <c r="C312" s="22"/>
      <c r="D312" s="27"/>
      <c r="E312" s="105" t="s">
        <v>866</v>
      </c>
      <c r="F312" s="31">
        <v>0.49</v>
      </c>
      <c r="G312" s="53">
        <v>0.79</v>
      </c>
      <c r="H312" s="1376"/>
      <c r="I312" s="1349"/>
      <c r="J312" s="39" t="s">
        <v>867</v>
      </c>
    </row>
    <row r="313" spans="1:10" ht="36.75" customHeight="1" x14ac:dyDescent="0.25">
      <c r="A313" s="22"/>
      <c r="B313" s="22"/>
      <c r="C313" s="22"/>
      <c r="D313" s="27"/>
      <c r="E313" s="105" t="s">
        <v>868</v>
      </c>
      <c r="F313" s="31">
        <v>0.51</v>
      </c>
      <c r="G313" s="53">
        <v>0.81</v>
      </c>
      <c r="H313" s="1376"/>
      <c r="I313" s="1349"/>
      <c r="J313" s="39" t="s">
        <v>867</v>
      </c>
    </row>
    <row r="314" spans="1:10" ht="24.75" customHeight="1" x14ac:dyDescent="0.25">
      <c r="A314" s="22"/>
      <c r="B314" s="22"/>
      <c r="C314" s="22"/>
      <c r="D314" s="27"/>
      <c r="E314" s="198" t="s">
        <v>869</v>
      </c>
      <c r="F314" s="199">
        <v>0.56000000000000005</v>
      </c>
      <c r="G314" s="200">
        <v>0.86</v>
      </c>
      <c r="H314" s="1376"/>
      <c r="I314" s="1349"/>
      <c r="J314" s="39" t="s">
        <v>867</v>
      </c>
    </row>
    <row r="315" spans="1:10" ht="65.25" customHeight="1" x14ac:dyDescent="0.25">
      <c r="A315" s="22"/>
      <c r="B315" s="22"/>
      <c r="C315" s="22"/>
      <c r="D315" s="201"/>
      <c r="E315" s="27" t="s">
        <v>870</v>
      </c>
      <c r="F315" s="39">
        <v>1</v>
      </c>
      <c r="G315" s="202">
        <v>1</v>
      </c>
      <c r="H315" s="22" t="s">
        <v>864</v>
      </c>
      <c r="I315" s="39" t="s">
        <v>865</v>
      </c>
      <c r="J315" s="39" t="s">
        <v>867</v>
      </c>
    </row>
    <row r="316" spans="1:10" ht="55.5" customHeight="1" x14ac:dyDescent="0.25">
      <c r="A316" s="22"/>
      <c r="B316" s="22"/>
      <c r="C316" s="22"/>
      <c r="D316" s="201"/>
      <c r="E316" s="27" t="s">
        <v>871</v>
      </c>
      <c r="F316" s="53">
        <v>0.25</v>
      </c>
      <c r="G316" s="203">
        <v>0.85</v>
      </c>
      <c r="H316" s="22"/>
      <c r="I316" s="39" t="s">
        <v>865</v>
      </c>
      <c r="J316" s="39" t="s">
        <v>867</v>
      </c>
    </row>
    <row r="317" spans="1:10" ht="66.75" customHeight="1" x14ac:dyDescent="0.25">
      <c r="A317" s="22"/>
      <c r="B317" s="22"/>
      <c r="C317" s="22"/>
      <c r="D317" s="201"/>
      <c r="E317" s="27" t="s">
        <v>872</v>
      </c>
      <c r="F317" s="31" t="s">
        <v>873</v>
      </c>
      <c r="G317" s="203">
        <v>0.9</v>
      </c>
      <c r="H317" s="22" t="s">
        <v>874</v>
      </c>
      <c r="I317" s="39" t="s">
        <v>865</v>
      </c>
      <c r="J317" s="39" t="s">
        <v>867</v>
      </c>
    </row>
    <row r="318" spans="1:10" ht="72" customHeight="1" x14ac:dyDescent="0.25">
      <c r="A318" s="22"/>
      <c r="B318" s="22"/>
      <c r="C318" s="22"/>
      <c r="D318" s="201"/>
      <c r="E318" s="27" t="s">
        <v>875</v>
      </c>
      <c r="F318" s="31" t="s">
        <v>876</v>
      </c>
      <c r="G318" s="204" t="s">
        <v>877</v>
      </c>
      <c r="H318" s="22" t="s">
        <v>878</v>
      </c>
      <c r="I318" s="39" t="s">
        <v>865</v>
      </c>
      <c r="J318" s="39" t="s">
        <v>867</v>
      </c>
    </row>
    <row r="319" spans="1:10" ht="33.75" customHeight="1" x14ac:dyDescent="0.25">
      <c r="A319" s="22"/>
      <c r="B319" s="22"/>
      <c r="C319" s="22"/>
      <c r="D319" s="201"/>
      <c r="E319" s="27" t="s">
        <v>879</v>
      </c>
      <c r="F319" s="39">
        <v>19</v>
      </c>
      <c r="G319" s="202">
        <v>1</v>
      </c>
      <c r="H319" s="22"/>
      <c r="I319" s="29"/>
      <c r="J319" s="39" t="s">
        <v>867</v>
      </c>
    </row>
    <row r="320" spans="1:10" ht="50.25" customHeight="1" x14ac:dyDescent="0.25">
      <c r="A320" s="22"/>
      <c r="B320" s="22"/>
      <c r="C320" s="22"/>
      <c r="D320" s="201"/>
      <c r="E320" s="27" t="s">
        <v>880</v>
      </c>
      <c r="F320" s="53">
        <v>0.49</v>
      </c>
      <c r="G320" s="203">
        <v>0.19</v>
      </c>
      <c r="H320" s="22"/>
      <c r="I320" s="29"/>
      <c r="J320" s="39" t="s">
        <v>867</v>
      </c>
    </row>
    <row r="321" spans="1:10" ht="40.5" customHeight="1" x14ac:dyDescent="0.25">
      <c r="A321" s="22"/>
      <c r="B321" s="22"/>
      <c r="C321" s="22"/>
      <c r="D321" s="201"/>
      <c r="E321" s="27" t="s">
        <v>881</v>
      </c>
      <c r="F321" s="53">
        <v>0.31</v>
      </c>
      <c r="G321" s="203">
        <v>0.61</v>
      </c>
      <c r="H321" s="22"/>
      <c r="I321" s="29"/>
      <c r="J321" s="39" t="s">
        <v>867</v>
      </c>
    </row>
    <row r="322" spans="1:10" ht="40.5" customHeight="1" x14ac:dyDescent="0.25">
      <c r="A322" s="22"/>
      <c r="B322" s="22"/>
      <c r="C322" s="22"/>
      <c r="D322" s="201"/>
      <c r="E322" s="27" t="s">
        <v>882</v>
      </c>
      <c r="F322" s="39" t="s">
        <v>883</v>
      </c>
      <c r="G322" s="202" t="s">
        <v>884</v>
      </c>
      <c r="H322" s="22"/>
      <c r="I322" s="29"/>
      <c r="J322" s="39" t="s">
        <v>867</v>
      </c>
    </row>
    <row r="323" spans="1:10" ht="102.75" customHeight="1" x14ac:dyDescent="0.25">
      <c r="A323" s="22"/>
      <c r="B323" s="22"/>
      <c r="C323" s="22"/>
      <c r="D323" s="201"/>
      <c r="E323" s="27" t="s">
        <v>885</v>
      </c>
      <c r="F323" s="53">
        <v>0.63</v>
      </c>
      <c r="G323" s="203">
        <v>0.81</v>
      </c>
      <c r="H323" s="22" t="s">
        <v>886</v>
      </c>
      <c r="I323" s="39" t="s">
        <v>865</v>
      </c>
      <c r="J323" s="39" t="s">
        <v>867</v>
      </c>
    </row>
    <row r="324" spans="1:10" ht="93.75" customHeight="1" x14ac:dyDescent="0.25">
      <c r="A324" s="22"/>
      <c r="B324" s="22"/>
      <c r="C324" s="22"/>
      <c r="D324" s="201"/>
      <c r="E324" s="27" t="s">
        <v>887</v>
      </c>
      <c r="F324" s="53">
        <v>0.36</v>
      </c>
      <c r="G324" s="203">
        <v>0.72</v>
      </c>
      <c r="H324" s="22"/>
      <c r="I324" s="39" t="s">
        <v>865</v>
      </c>
      <c r="J324" s="39" t="s">
        <v>867</v>
      </c>
    </row>
    <row r="325" spans="1:10" ht="84.75" customHeight="1" x14ac:dyDescent="0.25">
      <c r="A325" s="205" t="s">
        <v>888</v>
      </c>
      <c r="B325" s="205" t="s">
        <v>889</v>
      </c>
      <c r="C325" s="205" t="s">
        <v>890</v>
      </c>
      <c r="D325" s="205" t="s">
        <v>891</v>
      </c>
      <c r="E325" s="152" t="s">
        <v>892</v>
      </c>
      <c r="F325" s="112" t="s">
        <v>893</v>
      </c>
      <c r="G325" s="112" t="s">
        <v>893</v>
      </c>
      <c r="H325" s="143" t="s">
        <v>894</v>
      </c>
      <c r="I325" s="39" t="s">
        <v>895</v>
      </c>
      <c r="J325" s="39" t="s">
        <v>896</v>
      </c>
    </row>
    <row r="326" spans="1:10" ht="93.75" customHeight="1" x14ac:dyDescent="0.25">
      <c r="A326" s="205"/>
      <c r="B326" s="205"/>
      <c r="C326" s="205"/>
      <c r="D326" s="205"/>
      <c r="E326" s="152" t="s">
        <v>897</v>
      </c>
      <c r="F326" s="112" t="s">
        <v>893</v>
      </c>
      <c r="G326" s="68" t="s">
        <v>898</v>
      </c>
      <c r="H326" s="143" t="s">
        <v>899</v>
      </c>
      <c r="I326" s="32" t="s">
        <v>900</v>
      </c>
      <c r="J326" s="39" t="s">
        <v>896</v>
      </c>
    </row>
    <row r="327" spans="1:10" ht="86.25" customHeight="1" x14ac:dyDescent="0.25">
      <c r="A327" s="205"/>
      <c r="B327" s="205"/>
      <c r="C327" s="205"/>
      <c r="D327" s="205"/>
      <c r="E327" s="152" t="s">
        <v>901</v>
      </c>
      <c r="F327" s="85">
        <v>1</v>
      </c>
      <c r="G327" s="34">
        <v>1</v>
      </c>
      <c r="H327" s="22" t="s">
        <v>902</v>
      </c>
      <c r="I327" s="39" t="s">
        <v>895</v>
      </c>
      <c r="J327" s="39" t="s">
        <v>896</v>
      </c>
    </row>
    <row r="328" spans="1:10" ht="54" customHeight="1" x14ac:dyDescent="0.25">
      <c r="A328" s="205"/>
      <c r="B328" s="205"/>
      <c r="C328" s="205"/>
      <c r="D328" s="205"/>
      <c r="E328" s="152" t="s">
        <v>903</v>
      </c>
      <c r="F328" s="85">
        <v>0.9</v>
      </c>
      <c r="G328" s="34">
        <v>0.96</v>
      </c>
      <c r="H328" s="1347" t="s">
        <v>904</v>
      </c>
      <c r="I328" s="1369" t="s">
        <v>895</v>
      </c>
      <c r="J328" s="39" t="s">
        <v>896</v>
      </c>
    </row>
    <row r="329" spans="1:10" ht="77.25" customHeight="1" x14ac:dyDescent="0.25">
      <c r="A329" s="205"/>
      <c r="B329" s="205"/>
      <c r="C329" s="205"/>
      <c r="D329" s="205"/>
      <c r="E329" s="152" t="s">
        <v>905</v>
      </c>
      <c r="F329" s="85">
        <v>1</v>
      </c>
      <c r="G329" s="65">
        <v>1</v>
      </c>
      <c r="H329" s="1347"/>
      <c r="I329" s="1369"/>
      <c r="J329" s="39" t="s">
        <v>896</v>
      </c>
    </row>
    <row r="330" spans="1:10" ht="68.25" customHeight="1" x14ac:dyDescent="0.25">
      <c r="A330" s="205"/>
      <c r="B330" s="205"/>
      <c r="C330" s="205"/>
      <c r="D330" s="205"/>
      <c r="E330" s="22" t="s">
        <v>906</v>
      </c>
      <c r="F330" s="1377"/>
      <c r="G330" s="1378"/>
      <c r="H330" s="27"/>
      <c r="I330" s="39"/>
      <c r="J330" s="39"/>
    </row>
    <row r="331" spans="1:10" ht="41.25" customHeight="1" x14ac:dyDescent="0.25">
      <c r="A331" s="205"/>
      <c r="B331" s="205"/>
      <c r="C331" s="205"/>
      <c r="D331" s="205"/>
      <c r="E331" s="22" t="s">
        <v>907</v>
      </c>
      <c r="F331" s="53">
        <v>0.23</v>
      </c>
      <c r="G331" s="53">
        <v>1</v>
      </c>
      <c r="H331" s="27"/>
      <c r="I331" s="39" t="s">
        <v>895</v>
      </c>
      <c r="J331" s="39" t="s">
        <v>896</v>
      </c>
    </row>
    <row r="332" spans="1:10" ht="31.5" customHeight="1" x14ac:dyDescent="0.25">
      <c r="A332" s="205"/>
      <c r="B332" s="205"/>
      <c r="C332" s="205"/>
      <c r="D332" s="205"/>
      <c r="E332" s="22" t="s">
        <v>908</v>
      </c>
      <c r="F332" s="53">
        <v>0</v>
      </c>
      <c r="G332" s="53">
        <v>1</v>
      </c>
      <c r="H332" s="27"/>
      <c r="I332" s="39" t="s">
        <v>895</v>
      </c>
      <c r="J332" s="39" t="s">
        <v>896</v>
      </c>
    </row>
    <row r="333" spans="1:10" ht="37.5" customHeight="1" x14ac:dyDescent="0.25">
      <c r="A333" s="205"/>
      <c r="B333" s="205"/>
      <c r="C333" s="205"/>
      <c r="D333" s="205"/>
      <c r="E333" s="22" t="s">
        <v>909</v>
      </c>
      <c r="F333" s="53">
        <v>0.3</v>
      </c>
      <c r="G333" s="53">
        <v>0.75</v>
      </c>
      <c r="H333" s="27"/>
      <c r="I333" s="39" t="s">
        <v>895</v>
      </c>
      <c r="J333" s="39" t="s">
        <v>896</v>
      </c>
    </row>
    <row r="334" spans="1:10" ht="110.25" customHeight="1" x14ac:dyDescent="0.25">
      <c r="A334" s="22"/>
      <c r="B334" s="22"/>
      <c r="C334" s="27"/>
      <c r="D334" s="27"/>
      <c r="E334" s="30" t="s">
        <v>910</v>
      </c>
      <c r="F334" s="132" t="s">
        <v>911</v>
      </c>
      <c r="G334" s="39" t="s">
        <v>912</v>
      </c>
      <c r="H334" s="29" t="s">
        <v>913</v>
      </c>
      <c r="I334" s="32" t="s">
        <v>849</v>
      </c>
      <c r="J334" s="32" t="s">
        <v>914</v>
      </c>
    </row>
    <row r="335" spans="1:10" ht="77.25" customHeight="1" x14ac:dyDescent="0.25">
      <c r="A335" s="205"/>
      <c r="B335" s="205"/>
      <c r="C335" s="205"/>
      <c r="D335" s="205"/>
      <c r="E335" s="152" t="s">
        <v>915</v>
      </c>
      <c r="F335" s="112" t="s">
        <v>893</v>
      </c>
      <c r="G335" s="52" t="s">
        <v>893</v>
      </c>
      <c r="H335" s="1347" t="s">
        <v>916</v>
      </c>
      <c r="I335" s="1369" t="s">
        <v>895</v>
      </c>
      <c r="J335" s="39" t="s">
        <v>896</v>
      </c>
    </row>
    <row r="336" spans="1:10" ht="51" x14ac:dyDescent="0.25">
      <c r="A336" s="205"/>
      <c r="B336" s="205"/>
      <c r="C336" s="205"/>
      <c r="D336" s="205"/>
      <c r="E336" s="207" t="s">
        <v>917</v>
      </c>
      <c r="F336" s="85">
        <v>0.98</v>
      </c>
      <c r="G336" s="65">
        <v>0.99</v>
      </c>
      <c r="H336" s="1347"/>
      <c r="I336" s="1369"/>
      <c r="J336" s="39" t="s">
        <v>896</v>
      </c>
    </row>
    <row r="337" spans="1:12" ht="63" customHeight="1" x14ac:dyDescent="0.25">
      <c r="A337" s="205"/>
      <c r="B337" s="205"/>
      <c r="C337" s="205"/>
      <c r="D337" s="205"/>
      <c r="E337" s="22" t="s">
        <v>918</v>
      </c>
      <c r="F337" s="53">
        <v>0.15</v>
      </c>
      <c r="G337" s="65">
        <v>1</v>
      </c>
      <c r="H337" s="27"/>
      <c r="I337" s="39" t="s">
        <v>895</v>
      </c>
      <c r="J337" s="39" t="s">
        <v>896</v>
      </c>
    </row>
    <row r="338" spans="1:12" ht="63" customHeight="1" x14ac:dyDescent="0.25">
      <c r="A338" s="205"/>
      <c r="B338" s="205"/>
      <c r="C338" s="205"/>
      <c r="D338" s="208" t="s">
        <v>919</v>
      </c>
      <c r="E338" s="152" t="s">
        <v>920</v>
      </c>
      <c r="F338" s="112" t="s">
        <v>380</v>
      </c>
      <c r="G338" s="52" t="s">
        <v>921</v>
      </c>
      <c r="H338" s="1347" t="s">
        <v>922</v>
      </c>
      <c r="I338" s="1369" t="s">
        <v>895</v>
      </c>
      <c r="J338" s="39" t="s">
        <v>896</v>
      </c>
      <c r="L338" s="209"/>
    </row>
    <row r="339" spans="1:12" ht="57" customHeight="1" x14ac:dyDescent="0.25">
      <c r="A339" s="205"/>
      <c r="B339" s="205"/>
      <c r="C339" s="205"/>
      <c r="D339" s="24"/>
      <c r="E339" s="152" t="s">
        <v>923</v>
      </c>
      <c r="F339" s="112" t="s">
        <v>380</v>
      </c>
      <c r="G339" s="32" t="s">
        <v>924</v>
      </c>
      <c r="H339" s="1347"/>
      <c r="I339" s="1369"/>
      <c r="J339" s="39" t="s">
        <v>896</v>
      </c>
    </row>
    <row r="340" spans="1:12" ht="90.75" customHeight="1" x14ac:dyDescent="0.25">
      <c r="A340" s="205"/>
      <c r="B340" s="205"/>
      <c r="C340" s="205"/>
      <c r="D340" s="152" t="s">
        <v>925</v>
      </c>
      <c r="E340" s="152" t="s">
        <v>926</v>
      </c>
      <c r="F340" s="85">
        <v>0</v>
      </c>
      <c r="G340" s="65">
        <v>1</v>
      </c>
      <c r="H340" s="1347" t="s">
        <v>927</v>
      </c>
      <c r="I340" s="1369" t="s">
        <v>895</v>
      </c>
      <c r="J340" s="39" t="s">
        <v>896</v>
      </c>
    </row>
    <row r="341" spans="1:12" ht="66" customHeight="1" x14ac:dyDescent="0.25">
      <c r="A341" s="205"/>
      <c r="B341" s="205"/>
      <c r="C341" s="205"/>
      <c r="D341" s="205" t="s">
        <v>928</v>
      </c>
      <c r="E341" s="207" t="s">
        <v>929</v>
      </c>
      <c r="F341" s="85">
        <v>0.3</v>
      </c>
      <c r="G341" s="65">
        <v>0.6</v>
      </c>
      <c r="H341" s="1347"/>
      <c r="I341" s="1369"/>
      <c r="J341" s="39" t="s">
        <v>896</v>
      </c>
    </row>
    <row r="342" spans="1:12" ht="69" customHeight="1" x14ac:dyDescent="0.25">
      <c r="A342" s="205"/>
      <c r="B342" s="205"/>
      <c r="C342" s="205"/>
      <c r="D342" s="205" t="s">
        <v>930</v>
      </c>
      <c r="E342" s="22" t="s">
        <v>931</v>
      </c>
      <c r="F342" s="34">
        <v>0.5</v>
      </c>
      <c r="G342" s="34">
        <v>0.65</v>
      </c>
      <c r="H342" s="1370" t="s">
        <v>922</v>
      </c>
      <c r="I342" s="1369" t="s">
        <v>895</v>
      </c>
      <c r="J342" s="39" t="s">
        <v>896</v>
      </c>
    </row>
    <row r="343" spans="1:12" ht="53.25" customHeight="1" x14ac:dyDescent="0.25">
      <c r="A343" s="205"/>
      <c r="B343" s="205"/>
      <c r="C343" s="205"/>
      <c r="D343" s="205"/>
      <c r="E343" s="152" t="s">
        <v>932</v>
      </c>
      <c r="F343" s="34">
        <v>0.75</v>
      </c>
      <c r="G343" s="34">
        <v>0.9</v>
      </c>
      <c r="H343" s="1371"/>
      <c r="I343" s="1369"/>
      <c r="J343" s="39" t="s">
        <v>896</v>
      </c>
    </row>
    <row r="344" spans="1:12" ht="51.75" customHeight="1" x14ac:dyDescent="0.25">
      <c r="A344" s="205"/>
      <c r="B344" s="205"/>
      <c r="C344" s="205"/>
      <c r="D344" s="210"/>
      <c r="E344" s="152" t="s">
        <v>933</v>
      </c>
      <c r="F344" s="34">
        <v>0.75</v>
      </c>
      <c r="G344" s="34">
        <v>0.9</v>
      </c>
      <c r="H344" s="1370" t="s">
        <v>934</v>
      </c>
      <c r="I344" s="1372" t="s">
        <v>900</v>
      </c>
      <c r="J344" s="39" t="s">
        <v>896</v>
      </c>
    </row>
    <row r="345" spans="1:12" ht="57.75" customHeight="1" x14ac:dyDescent="0.25">
      <c r="A345" s="205"/>
      <c r="B345" s="205"/>
      <c r="C345" s="205"/>
      <c r="D345" s="210"/>
      <c r="E345" s="152" t="s">
        <v>935</v>
      </c>
      <c r="F345" s="34">
        <v>0.5</v>
      </c>
      <c r="G345" s="34">
        <v>0.6</v>
      </c>
      <c r="H345" s="1370"/>
      <c r="I345" s="1372"/>
      <c r="J345" s="39" t="s">
        <v>896</v>
      </c>
    </row>
    <row r="346" spans="1:12" ht="53.25" customHeight="1" x14ac:dyDescent="0.25">
      <c r="A346" s="205"/>
      <c r="B346" s="205"/>
      <c r="C346" s="205"/>
      <c r="D346" s="210"/>
      <c r="E346" s="152" t="s">
        <v>936</v>
      </c>
      <c r="F346" s="34">
        <v>0.5</v>
      </c>
      <c r="G346" s="34">
        <v>0.6</v>
      </c>
      <c r="H346" s="1364" t="s">
        <v>937</v>
      </c>
      <c r="I346" s="1363" t="s">
        <v>938</v>
      </c>
      <c r="J346" s="39" t="s">
        <v>896</v>
      </c>
    </row>
    <row r="347" spans="1:12" ht="53.25" customHeight="1" x14ac:dyDescent="0.25">
      <c r="A347" s="205"/>
      <c r="B347" s="205"/>
      <c r="C347" s="205"/>
      <c r="D347" s="210"/>
      <c r="E347" s="152" t="s">
        <v>939</v>
      </c>
      <c r="F347" s="34">
        <v>0.2</v>
      </c>
      <c r="G347" s="34">
        <v>1</v>
      </c>
      <c r="H347" s="1364"/>
      <c r="I347" s="1363"/>
      <c r="J347" s="39" t="s">
        <v>896</v>
      </c>
    </row>
    <row r="348" spans="1:12" ht="38.25" customHeight="1" x14ac:dyDescent="0.25">
      <c r="A348" s="205"/>
      <c r="B348" s="205"/>
      <c r="C348" s="211"/>
      <c r="D348" s="210"/>
      <c r="E348" s="22" t="s">
        <v>940</v>
      </c>
      <c r="F348" s="124" t="s">
        <v>941</v>
      </c>
      <c r="G348" s="124" t="s">
        <v>942</v>
      </c>
      <c r="H348" s="207" t="s">
        <v>943</v>
      </c>
      <c r="I348" s="32"/>
      <c r="J348" s="39" t="s">
        <v>896</v>
      </c>
    </row>
    <row r="349" spans="1:12" ht="130.5" customHeight="1" x14ac:dyDescent="0.25">
      <c r="A349" s="22" t="s">
        <v>944</v>
      </c>
      <c r="B349" s="22" t="s">
        <v>945</v>
      </c>
      <c r="C349" s="22" t="s">
        <v>946</v>
      </c>
      <c r="D349" s="27" t="s">
        <v>947</v>
      </c>
      <c r="E349" s="212" t="s">
        <v>948</v>
      </c>
      <c r="F349" s="213">
        <v>1</v>
      </c>
      <c r="G349" s="34">
        <v>1</v>
      </c>
      <c r="H349" s="83" t="s">
        <v>949</v>
      </c>
      <c r="I349" s="39" t="s">
        <v>950</v>
      </c>
      <c r="J349" s="33" t="s">
        <v>951</v>
      </c>
    </row>
    <row r="350" spans="1:12" ht="65.25" customHeight="1" x14ac:dyDescent="0.25">
      <c r="A350" s="29"/>
      <c r="B350" s="29"/>
      <c r="C350" s="188"/>
      <c r="D350" s="188"/>
      <c r="E350" s="212" t="s">
        <v>952</v>
      </c>
      <c r="F350" s="213">
        <v>0.85</v>
      </c>
      <c r="G350" s="34">
        <v>0.95</v>
      </c>
      <c r="H350" s="83" t="s">
        <v>953</v>
      </c>
      <c r="I350" s="39" t="s">
        <v>950</v>
      </c>
      <c r="J350" s="33" t="s">
        <v>951</v>
      </c>
    </row>
    <row r="351" spans="1:12" ht="77.25" customHeight="1" x14ac:dyDescent="0.25">
      <c r="A351" s="39"/>
      <c r="B351" s="39"/>
      <c r="C351" s="188"/>
      <c r="D351" s="188"/>
      <c r="E351" s="212" t="s">
        <v>954</v>
      </c>
      <c r="F351" s="213">
        <v>1</v>
      </c>
      <c r="G351" s="34">
        <v>1</v>
      </c>
      <c r="H351" s="83" t="s">
        <v>955</v>
      </c>
      <c r="I351" s="39" t="s">
        <v>950</v>
      </c>
      <c r="J351" s="33" t="s">
        <v>951</v>
      </c>
    </row>
    <row r="352" spans="1:12" ht="86.25" customHeight="1" x14ac:dyDescent="0.25">
      <c r="A352" s="22"/>
      <c r="B352" s="22" t="s">
        <v>956</v>
      </c>
      <c r="C352" s="22" t="s">
        <v>957</v>
      </c>
      <c r="D352" s="22" t="s">
        <v>958</v>
      </c>
      <c r="E352" s="214" t="s">
        <v>959</v>
      </c>
      <c r="F352" s="213">
        <v>0.95</v>
      </c>
      <c r="G352" s="34">
        <v>1</v>
      </c>
      <c r="H352" s="83" t="s">
        <v>960</v>
      </c>
      <c r="I352" s="39" t="s">
        <v>950</v>
      </c>
      <c r="J352" s="33" t="s">
        <v>951</v>
      </c>
    </row>
    <row r="353" spans="1:10" ht="93" customHeight="1" x14ac:dyDescent="0.25">
      <c r="A353" s="22"/>
      <c r="B353" s="22"/>
      <c r="C353" s="22" t="s">
        <v>961</v>
      </c>
      <c r="D353" s="22" t="s">
        <v>962</v>
      </c>
      <c r="E353" s="61" t="s">
        <v>963</v>
      </c>
      <c r="F353" s="213">
        <v>0.9</v>
      </c>
      <c r="G353" s="34">
        <v>0.95</v>
      </c>
      <c r="H353" s="83" t="s">
        <v>964</v>
      </c>
      <c r="I353" s="39" t="s">
        <v>950</v>
      </c>
      <c r="J353" s="33" t="s">
        <v>951</v>
      </c>
    </row>
    <row r="354" spans="1:10" ht="70.5" customHeight="1" x14ac:dyDescent="0.25">
      <c r="A354" s="205"/>
      <c r="B354" s="205"/>
      <c r="C354" s="143"/>
      <c r="D354" s="205"/>
      <c r="E354" s="152" t="s">
        <v>965</v>
      </c>
      <c r="F354" s="34">
        <v>0.5</v>
      </c>
      <c r="G354" s="65">
        <v>0.95</v>
      </c>
      <c r="H354" s="135" t="s">
        <v>966</v>
      </c>
      <c r="I354" s="188"/>
      <c r="J354" s="39" t="s">
        <v>896</v>
      </c>
    </row>
    <row r="355" spans="1:10" ht="88.5" customHeight="1" x14ac:dyDescent="0.25">
      <c r="A355" s="205"/>
      <c r="B355" s="205"/>
      <c r="C355" s="143"/>
      <c r="D355" s="205"/>
      <c r="E355" s="21" t="s">
        <v>967</v>
      </c>
      <c r="F355" s="32"/>
      <c r="G355" s="68"/>
      <c r="H355" s="135" t="s">
        <v>968</v>
      </c>
      <c r="I355" s="188"/>
      <c r="J355" s="39" t="s">
        <v>896</v>
      </c>
    </row>
    <row r="356" spans="1:10" ht="56.25" customHeight="1" x14ac:dyDescent="0.25">
      <c r="A356" s="22"/>
      <c r="B356" s="22"/>
      <c r="C356" s="75"/>
      <c r="D356" s="75"/>
      <c r="E356" s="152" t="s">
        <v>969</v>
      </c>
      <c r="F356" s="137">
        <v>0.85</v>
      </c>
      <c r="G356" s="34">
        <v>0.95</v>
      </c>
      <c r="H356" s="24"/>
      <c r="I356" s="24"/>
      <c r="J356" s="215" t="s">
        <v>970</v>
      </c>
    </row>
    <row r="357" spans="1:10" ht="51" x14ac:dyDescent="0.25">
      <c r="A357" s="22"/>
      <c r="B357" s="22"/>
      <c r="C357" s="1365" t="s">
        <v>971</v>
      </c>
      <c r="D357" s="27" t="s">
        <v>972</v>
      </c>
      <c r="E357" s="30" t="s">
        <v>973</v>
      </c>
      <c r="F357" s="34">
        <v>1</v>
      </c>
      <c r="G357" s="34">
        <v>1</v>
      </c>
      <c r="H357" s="29" t="s">
        <v>913</v>
      </c>
      <c r="I357" s="81"/>
      <c r="J357" s="32" t="s">
        <v>914</v>
      </c>
    </row>
    <row r="358" spans="1:10" ht="38.25" x14ac:dyDescent="0.25">
      <c r="A358" s="81"/>
      <c r="B358" s="81"/>
      <c r="C358" s="1365"/>
      <c r="D358" s="27" t="s">
        <v>974</v>
      </c>
      <c r="E358" s="30" t="s">
        <v>975</v>
      </c>
      <c r="F358" s="32" t="s">
        <v>976</v>
      </c>
      <c r="G358" s="32" t="s">
        <v>976</v>
      </c>
      <c r="H358" s="29"/>
      <c r="I358" s="81"/>
      <c r="J358" s="32" t="s">
        <v>914</v>
      </c>
    </row>
    <row r="359" spans="1:10" ht="25.5" x14ac:dyDescent="0.25">
      <c r="A359" s="81"/>
      <c r="B359" s="81"/>
      <c r="C359" s="1365"/>
      <c r="D359" s="27"/>
      <c r="E359" s="30" t="s">
        <v>977</v>
      </c>
      <c r="F359" s="32" t="s">
        <v>978</v>
      </c>
      <c r="G359" s="32" t="s">
        <v>979</v>
      </c>
      <c r="H359" s="29"/>
      <c r="I359" s="81"/>
      <c r="J359" s="32" t="s">
        <v>914</v>
      </c>
    </row>
    <row r="360" spans="1:10" ht="25.5" x14ac:dyDescent="0.25">
      <c r="A360" s="81"/>
      <c r="B360" s="81"/>
      <c r="C360" s="81"/>
      <c r="D360" s="81"/>
      <c r="E360" s="30" t="s">
        <v>980</v>
      </c>
      <c r="F360" s="32" t="s">
        <v>981</v>
      </c>
      <c r="G360" s="32" t="s">
        <v>981</v>
      </c>
      <c r="H360" s="29"/>
      <c r="I360" s="81"/>
      <c r="J360" s="32" t="s">
        <v>914</v>
      </c>
    </row>
    <row r="361" spans="1:10" ht="63.75" x14ac:dyDescent="0.25">
      <c r="A361" s="67"/>
      <c r="B361" s="67"/>
      <c r="C361" s="176" t="s">
        <v>982</v>
      </c>
      <c r="D361" s="176" t="s">
        <v>983</v>
      </c>
      <c r="E361" s="176" t="s">
        <v>984</v>
      </c>
      <c r="F361" s="34">
        <v>0.8</v>
      </c>
      <c r="G361" s="34">
        <v>1</v>
      </c>
      <c r="H361" s="61" t="s">
        <v>985</v>
      </c>
      <c r="I361" s="33" t="s">
        <v>849</v>
      </c>
      <c r="J361" s="33" t="s">
        <v>986</v>
      </c>
    </row>
    <row r="362" spans="1:10" ht="68.25" customHeight="1" x14ac:dyDescent="0.25">
      <c r="A362" s="22"/>
      <c r="B362" s="22"/>
      <c r="C362" s="27"/>
      <c r="D362" s="27"/>
      <c r="E362" s="30" t="s">
        <v>987</v>
      </c>
      <c r="F362" s="178">
        <v>0.03</v>
      </c>
      <c r="G362" s="34">
        <v>0.99</v>
      </c>
      <c r="H362" s="81"/>
      <c r="I362" s="81"/>
      <c r="J362" s="32" t="s">
        <v>192</v>
      </c>
    </row>
    <row r="363" spans="1:10" ht="68.25" customHeight="1" x14ac:dyDescent="0.25">
      <c r="A363" s="22"/>
      <c r="B363" s="22"/>
      <c r="C363" s="206"/>
      <c r="D363" s="206"/>
      <c r="E363" s="23" t="s">
        <v>1806</v>
      </c>
      <c r="F363" s="34">
        <v>0.99</v>
      </c>
      <c r="G363" s="34">
        <v>0.99</v>
      </c>
      <c r="H363" s="81"/>
      <c r="I363" s="81"/>
      <c r="J363" s="109"/>
    </row>
    <row r="364" spans="1:10" ht="66.75" customHeight="1" x14ac:dyDescent="0.25">
      <c r="A364" s="143"/>
      <c r="B364" s="143"/>
      <c r="C364" s="187" t="s">
        <v>988</v>
      </c>
      <c r="D364" s="143" t="s">
        <v>989</v>
      </c>
      <c r="E364" s="152" t="s">
        <v>990</v>
      </c>
      <c r="F364" s="136" t="s">
        <v>1820</v>
      </c>
      <c r="G364" s="136" t="s">
        <v>1821</v>
      </c>
      <c r="H364" s="187"/>
      <c r="I364" s="187"/>
      <c r="J364" s="73" t="s">
        <v>991</v>
      </c>
    </row>
    <row r="365" spans="1:10" ht="91.5" customHeight="1" x14ac:dyDescent="0.25">
      <c r="A365" s="32"/>
      <c r="B365" s="152"/>
      <c r="C365" s="152"/>
      <c r="D365" s="188"/>
      <c r="E365" s="152" t="s">
        <v>992</v>
      </c>
      <c r="F365" s="136" t="s">
        <v>1822</v>
      </c>
      <c r="G365" s="136" t="s">
        <v>1823</v>
      </c>
      <c r="H365" s="188"/>
      <c r="I365" s="188"/>
      <c r="J365" s="73" t="s">
        <v>991</v>
      </c>
    </row>
    <row r="366" spans="1:10" ht="44.25" customHeight="1" x14ac:dyDescent="0.25">
      <c r="A366" s="32"/>
      <c r="B366" s="152"/>
      <c r="C366" s="152"/>
      <c r="D366" s="188"/>
      <c r="E366" s="152" t="s">
        <v>993</v>
      </c>
      <c r="F366" s="136" t="s">
        <v>1824</v>
      </c>
      <c r="G366" s="136" t="s">
        <v>1825</v>
      </c>
      <c r="H366" s="188"/>
      <c r="I366" s="188"/>
      <c r="J366" s="73" t="s">
        <v>991</v>
      </c>
    </row>
    <row r="367" spans="1:10" ht="36.75" customHeight="1" x14ac:dyDescent="0.25">
      <c r="A367" s="32"/>
      <c r="B367" s="152"/>
      <c r="C367" s="152"/>
      <c r="D367" s="188"/>
      <c r="E367" s="152" t="s">
        <v>994</v>
      </c>
      <c r="F367" s="136" t="s">
        <v>1826</v>
      </c>
      <c r="G367" s="136" t="s">
        <v>1827</v>
      </c>
      <c r="H367" s="188"/>
      <c r="I367" s="188"/>
      <c r="J367" s="73" t="s">
        <v>991</v>
      </c>
    </row>
    <row r="368" spans="1:10" ht="33" customHeight="1" x14ac:dyDescent="0.25">
      <c r="A368" s="32"/>
      <c r="B368" s="152"/>
      <c r="C368" s="152"/>
      <c r="D368" s="188"/>
      <c r="E368" s="152" t="s">
        <v>995</v>
      </c>
      <c r="F368" s="136" t="s">
        <v>1162</v>
      </c>
      <c r="G368" s="136" t="s">
        <v>1828</v>
      </c>
      <c r="H368" s="188"/>
      <c r="I368" s="188"/>
      <c r="J368" s="73" t="s">
        <v>991</v>
      </c>
    </row>
    <row r="369" spans="1:10" ht="63" customHeight="1" x14ac:dyDescent="0.25">
      <c r="A369" s="32"/>
      <c r="B369" s="152"/>
      <c r="C369" s="152"/>
      <c r="D369" s="188"/>
      <c r="E369" s="152" t="s">
        <v>996</v>
      </c>
      <c r="F369" s="136" t="s">
        <v>1829</v>
      </c>
      <c r="G369" s="136" t="s">
        <v>1830</v>
      </c>
      <c r="H369" s="188"/>
      <c r="I369" s="188"/>
      <c r="J369" s="73" t="s">
        <v>991</v>
      </c>
    </row>
    <row r="370" spans="1:10" ht="52.5" customHeight="1" x14ac:dyDescent="0.25">
      <c r="A370" s="32"/>
      <c r="B370" s="152"/>
      <c r="C370" s="152"/>
      <c r="D370" s="188"/>
      <c r="E370" s="152" t="s">
        <v>997</v>
      </c>
      <c r="F370" s="136" t="s">
        <v>435</v>
      </c>
      <c r="G370" s="136" t="s">
        <v>1831</v>
      </c>
      <c r="H370" s="188"/>
      <c r="I370" s="188"/>
      <c r="J370" s="73" t="s">
        <v>991</v>
      </c>
    </row>
    <row r="371" spans="1:10" ht="52.5" customHeight="1" x14ac:dyDescent="0.25">
      <c r="A371" s="306"/>
      <c r="B371" s="305"/>
      <c r="C371" s="305"/>
      <c r="D371" s="188"/>
      <c r="E371" s="305" t="s">
        <v>1819</v>
      </c>
      <c r="F371" s="136" t="s">
        <v>1820</v>
      </c>
      <c r="G371" s="136" t="s">
        <v>1820</v>
      </c>
      <c r="H371" s="188"/>
      <c r="I371" s="188"/>
      <c r="J371" s="307"/>
    </row>
    <row r="372" spans="1:10" ht="91.5" customHeight="1" x14ac:dyDescent="0.25">
      <c r="A372" s="22" t="s">
        <v>998</v>
      </c>
      <c r="B372" s="22" t="s">
        <v>999</v>
      </c>
      <c r="C372" s="27" t="s">
        <v>988</v>
      </c>
      <c r="D372" s="30" t="s">
        <v>1000</v>
      </c>
      <c r="E372" s="30" t="s">
        <v>1001</v>
      </c>
      <c r="F372" s="34">
        <v>0.9</v>
      </c>
      <c r="G372" s="34">
        <v>0.95</v>
      </c>
      <c r="H372" s="27" t="s">
        <v>1002</v>
      </c>
      <c r="I372" s="32" t="s">
        <v>849</v>
      </c>
      <c r="J372" s="32" t="s">
        <v>1003</v>
      </c>
    </row>
    <row r="373" spans="1:10" ht="56.25" customHeight="1" x14ac:dyDescent="0.25">
      <c r="A373" s="81"/>
      <c r="B373" s="81"/>
      <c r="C373" s="81"/>
      <c r="D373" s="81"/>
      <c r="E373" s="30" t="s">
        <v>1004</v>
      </c>
      <c r="F373" s="81"/>
      <c r="G373" s="81"/>
      <c r="H373" s="81"/>
      <c r="I373" s="81"/>
      <c r="J373" s="32" t="s">
        <v>1005</v>
      </c>
    </row>
    <row r="374" spans="1:10" ht="56.25" customHeight="1" x14ac:dyDescent="0.25">
      <c r="A374" s="205"/>
      <c r="B374" s="205"/>
      <c r="C374" s="1353" t="s">
        <v>1006</v>
      </c>
      <c r="D374" s="1353" t="s">
        <v>1007</v>
      </c>
      <c r="E374" s="22" t="s">
        <v>1008</v>
      </c>
      <c r="F374" s="32" t="s">
        <v>1009</v>
      </c>
      <c r="G374" s="32" t="s">
        <v>1010</v>
      </c>
      <c r="H374" s="22" t="s">
        <v>1011</v>
      </c>
      <c r="I374" s="32" t="s">
        <v>1012</v>
      </c>
      <c r="J374" s="33" t="s">
        <v>1013</v>
      </c>
    </row>
    <row r="375" spans="1:10" ht="55.5" customHeight="1" x14ac:dyDescent="0.25">
      <c r="A375" s="205"/>
      <c r="B375" s="205"/>
      <c r="C375" s="1354"/>
      <c r="D375" s="1354"/>
      <c r="E375" s="1359" t="s">
        <v>1014</v>
      </c>
      <c r="F375" s="1361" t="s">
        <v>1009</v>
      </c>
      <c r="G375" s="1361" t="s">
        <v>1010</v>
      </c>
      <c r="H375" s="22" t="s">
        <v>1015</v>
      </c>
      <c r="I375" s="32" t="s">
        <v>1012</v>
      </c>
      <c r="J375" s="33" t="s">
        <v>1013</v>
      </c>
    </row>
    <row r="376" spans="1:10" ht="78" customHeight="1" x14ac:dyDescent="0.25">
      <c r="A376" s="205"/>
      <c r="B376" s="205"/>
      <c r="C376" s="1355"/>
      <c r="D376" s="1355"/>
      <c r="E376" s="1360"/>
      <c r="F376" s="1362"/>
      <c r="G376" s="1362"/>
      <c r="H376" s="22" t="s">
        <v>1016</v>
      </c>
      <c r="I376" s="32" t="s">
        <v>1012</v>
      </c>
      <c r="J376" s="33" t="s">
        <v>1013</v>
      </c>
    </row>
    <row r="377" spans="1:10" ht="90" customHeight="1" x14ac:dyDescent="0.25">
      <c r="A377" s="22"/>
      <c r="B377" s="22" t="s">
        <v>1017</v>
      </c>
      <c r="C377" s="22" t="s">
        <v>1018</v>
      </c>
      <c r="D377" s="22" t="s">
        <v>1019</v>
      </c>
      <c r="E377" s="22" t="s">
        <v>1020</v>
      </c>
      <c r="F377" s="216" t="s">
        <v>1021</v>
      </c>
      <c r="G377" s="216" t="s">
        <v>1022</v>
      </c>
      <c r="H377" s="22" t="s">
        <v>1023</v>
      </c>
      <c r="I377" s="32" t="s">
        <v>1024</v>
      </c>
      <c r="J377" s="33" t="s">
        <v>1013</v>
      </c>
    </row>
    <row r="378" spans="1:10" ht="142.5" customHeight="1" x14ac:dyDescent="0.25">
      <c r="A378" s="143" t="s">
        <v>1025</v>
      </c>
      <c r="B378" s="143" t="s">
        <v>956</v>
      </c>
      <c r="C378" s="1337" t="s">
        <v>1026</v>
      </c>
      <c r="D378" s="1337" t="s">
        <v>1027</v>
      </c>
      <c r="E378" s="187" t="s">
        <v>1028</v>
      </c>
      <c r="F378" s="65">
        <v>1.52</v>
      </c>
      <c r="G378" s="217"/>
      <c r="H378" s="187" t="s">
        <v>1029</v>
      </c>
      <c r="I378" s="187" t="s">
        <v>1030</v>
      </c>
      <c r="J378" s="73" t="s">
        <v>1031</v>
      </c>
    </row>
    <row r="379" spans="1:10" ht="148.5" customHeight="1" x14ac:dyDescent="0.25">
      <c r="A379" s="143"/>
      <c r="B379" s="143"/>
      <c r="C379" s="1346"/>
      <c r="D379" s="1338"/>
      <c r="E379" s="187" t="s">
        <v>1032</v>
      </c>
      <c r="F379" s="68" t="s">
        <v>1033</v>
      </c>
      <c r="G379" s="65">
        <v>1</v>
      </c>
      <c r="H379" s="187"/>
      <c r="I379" s="187" t="s">
        <v>1030</v>
      </c>
      <c r="J379" s="73" t="s">
        <v>1031</v>
      </c>
    </row>
    <row r="380" spans="1:10" ht="139.5" customHeight="1" x14ac:dyDescent="0.25">
      <c r="A380" s="143"/>
      <c r="B380" s="143"/>
      <c r="C380" s="1338"/>
      <c r="D380" s="187" t="s">
        <v>1034</v>
      </c>
      <c r="E380" s="187" t="s">
        <v>1035</v>
      </c>
      <c r="F380" s="217"/>
      <c r="G380" s="217"/>
      <c r="H380" s="187"/>
      <c r="I380" s="187" t="s">
        <v>1030</v>
      </c>
      <c r="J380" s="73" t="s">
        <v>1031</v>
      </c>
    </row>
    <row r="381" spans="1:10" ht="147.75" customHeight="1" x14ac:dyDescent="0.25">
      <c r="A381" s="143"/>
      <c r="B381" s="143"/>
      <c r="C381" s="143"/>
      <c r="D381" s="143"/>
      <c r="E381" s="143" t="s">
        <v>1036</v>
      </c>
      <c r="F381" s="65">
        <v>0.83</v>
      </c>
      <c r="G381" s="65">
        <v>0.83</v>
      </c>
      <c r="H381" s="187"/>
      <c r="I381" s="187" t="s">
        <v>1030</v>
      </c>
      <c r="J381" s="73" t="s">
        <v>1031</v>
      </c>
    </row>
    <row r="382" spans="1:10" ht="148.5" customHeight="1" x14ac:dyDescent="0.25">
      <c r="A382" s="143"/>
      <c r="B382" s="143"/>
      <c r="C382" s="143"/>
      <c r="D382" s="143"/>
      <c r="E382" s="143" t="s">
        <v>1037</v>
      </c>
      <c r="F382" s="68" t="s">
        <v>1038</v>
      </c>
      <c r="G382" s="65">
        <v>1</v>
      </c>
      <c r="H382" s="187"/>
      <c r="I382" s="187" t="s">
        <v>1030</v>
      </c>
      <c r="J382" s="73" t="s">
        <v>1031</v>
      </c>
    </row>
    <row r="383" spans="1:10" ht="151.5" customHeight="1" x14ac:dyDescent="0.25">
      <c r="A383" s="143"/>
      <c r="B383" s="143"/>
      <c r="C383" s="143"/>
      <c r="D383" s="143"/>
      <c r="E383" s="143" t="s">
        <v>1039</v>
      </c>
      <c r="F383" s="65">
        <v>0.49</v>
      </c>
      <c r="G383" s="65">
        <v>0.56000000000000005</v>
      </c>
      <c r="H383" s="187" t="s">
        <v>1040</v>
      </c>
      <c r="I383" s="187" t="s">
        <v>1030</v>
      </c>
      <c r="J383" s="73" t="s">
        <v>1031</v>
      </c>
    </row>
    <row r="384" spans="1:10" ht="150" customHeight="1" x14ac:dyDescent="0.25">
      <c r="A384" s="143"/>
      <c r="B384" s="143"/>
      <c r="C384" s="143"/>
      <c r="D384" s="143"/>
      <c r="E384" s="143" t="s">
        <v>1041</v>
      </c>
      <c r="F384" s="68" t="s">
        <v>823</v>
      </c>
      <c r="G384" s="68" t="s">
        <v>1042</v>
      </c>
      <c r="H384" s="187"/>
      <c r="I384" s="187" t="s">
        <v>1030</v>
      </c>
      <c r="J384" s="73" t="s">
        <v>1031</v>
      </c>
    </row>
    <row r="385" spans="1:10" ht="150.75" customHeight="1" x14ac:dyDescent="0.25">
      <c r="A385" s="143"/>
      <c r="B385" s="143"/>
      <c r="C385" s="143"/>
      <c r="D385" s="143"/>
      <c r="E385" s="143" t="s">
        <v>1043</v>
      </c>
      <c r="F385" s="68" t="s">
        <v>1044</v>
      </c>
      <c r="G385" s="68" t="s">
        <v>1045</v>
      </c>
      <c r="H385" s="187" t="s">
        <v>964</v>
      </c>
      <c r="I385" s="187" t="s">
        <v>1030</v>
      </c>
      <c r="J385" s="73" t="s">
        <v>1031</v>
      </c>
    </row>
    <row r="386" spans="1:10" ht="65.25" customHeight="1" x14ac:dyDescent="0.25">
      <c r="A386" s="20"/>
      <c r="B386" s="20"/>
      <c r="C386" s="152"/>
      <c r="D386" s="152" t="s">
        <v>1046</v>
      </c>
      <c r="E386" s="23" t="s">
        <v>1047</v>
      </c>
      <c r="F386" s="85">
        <v>0.1</v>
      </c>
      <c r="G386" s="111">
        <v>0.15</v>
      </c>
      <c r="H386" s="1347" t="s">
        <v>966</v>
      </c>
      <c r="I386" s="39" t="s">
        <v>849</v>
      </c>
      <c r="J386" s="32" t="s">
        <v>1048</v>
      </c>
    </row>
    <row r="387" spans="1:10" ht="74.25" customHeight="1" x14ac:dyDescent="0.25">
      <c r="A387" s="20"/>
      <c r="B387" s="20"/>
      <c r="C387" s="152"/>
      <c r="E387" s="23" t="s">
        <v>1049</v>
      </c>
      <c r="F387" s="85">
        <v>0.21</v>
      </c>
      <c r="G387" s="111">
        <v>0.25</v>
      </c>
      <c r="H387" s="1347"/>
      <c r="I387" s="39" t="s">
        <v>849</v>
      </c>
      <c r="J387" s="32" t="s">
        <v>1048</v>
      </c>
    </row>
    <row r="388" spans="1:10" ht="60" customHeight="1" x14ac:dyDescent="0.25">
      <c r="A388" s="20"/>
      <c r="B388" s="20"/>
      <c r="C388" s="22"/>
      <c r="D388" s="27"/>
      <c r="E388" s="23" t="s">
        <v>1050</v>
      </c>
      <c r="F388" s="112" t="s">
        <v>1051</v>
      </c>
      <c r="G388" s="218" t="s">
        <v>1051</v>
      </c>
      <c r="H388" s="127" t="s">
        <v>1052</v>
      </c>
      <c r="I388" s="39" t="s">
        <v>849</v>
      </c>
      <c r="J388" s="32" t="s">
        <v>1048</v>
      </c>
    </row>
    <row r="389" spans="1:10" ht="81" customHeight="1" x14ac:dyDescent="0.25">
      <c r="A389" s="20"/>
      <c r="B389" s="20"/>
      <c r="C389" s="22"/>
      <c r="D389" s="24"/>
      <c r="E389" s="23" t="s">
        <v>1053</v>
      </c>
      <c r="F389" s="85">
        <v>0.33</v>
      </c>
      <c r="G389" s="111">
        <v>0.9</v>
      </c>
      <c r="H389" s="127"/>
      <c r="I389" s="39" t="s">
        <v>849</v>
      </c>
      <c r="J389" s="32" t="s">
        <v>1048</v>
      </c>
    </row>
    <row r="390" spans="1:10" ht="59.25" customHeight="1" x14ac:dyDescent="0.25">
      <c r="A390" s="20"/>
      <c r="B390" s="20"/>
      <c r="C390" s="22"/>
      <c r="D390" s="152" t="s">
        <v>1054</v>
      </c>
      <c r="E390" s="23" t="s">
        <v>1055</v>
      </c>
      <c r="F390" s="85">
        <v>0</v>
      </c>
      <c r="G390" s="111">
        <v>0.7</v>
      </c>
      <c r="H390" s="127"/>
      <c r="I390" s="39" t="s">
        <v>849</v>
      </c>
      <c r="J390" s="32" t="s">
        <v>1048</v>
      </c>
    </row>
    <row r="391" spans="1:10" ht="55.5" customHeight="1" x14ac:dyDescent="0.25">
      <c r="A391" s="20"/>
      <c r="B391" s="20"/>
      <c r="C391" s="22"/>
      <c r="D391" s="24"/>
      <c r="E391" s="219" t="s">
        <v>1056</v>
      </c>
      <c r="F391" s="85" t="s">
        <v>217</v>
      </c>
      <c r="G391" s="111">
        <v>0.95</v>
      </c>
      <c r="H391" s="127"/>
      <c r="I391" s="39"/>
      <c r="J391" s="32"/>
    </row>
    <row r="392" spans="1:10" ht="62.25" customHeight="1" x14ac:dyDescent="0.25">
      <c r="A392" s="20"/>
      <c r="B392" s="20"/>
      <c r="C392" s="22"/>
      <c r="D392" s="148"/>
      <c r="E392" s="30" t="s">
        <v>1057</v>
      </c>
      <c r="F392" s="85">
        <v>0</v>
      </c>
      <c r="G392" s="65">
        <v>0.7</v>
      </c>
      <c r="H392" s="127"/>
      <c r="I392" s="39" t="s">
        <v>849</v>
      </c>
      <c r="J392" s="32" t="s">
        <v>1048</v>
      </c>
    </row>
    <row r="393" spans="1:10" ht="57" customHeight="1" x14ac:dyDescent="0.25">
      <c r="A393" s="20"/>
      <c r="B393" s="20"/>
      <c r="C393" s="22"/>
      <c r="D393" s="148"/>
      <c r="E393" s="219" t="s">
        <v>1058</v>
      </c>
      <c r="F393" s="85" t="s">
        <v>217</v>
      </c>
      <c r="G393" s="65" t="s">
        <v>1059</v>
      </c>
      <c r="H393" s="220"/>
      <c r="I393" s="39"/>
      <c r="J393" s="32"/>
    </row>
    <row r="394" spans="1:10" ht="69.75" customHeight="1" x14ac:dyDescent="0.25">
      <c r="A394" s="22" t="s">
        <v>1060</v>
      </c>
      <c r="B394" s="22" t="s">
        <v>1061</v>
      </c>
      <c r="C394" s="22" t="s">
        <v>1062</v>
      </c>
      <c r="D394" s="1335" t="s">
        <v>1063</v>
      </c>
      <c r="E394" s="152" t="s">
        <v>1064</v>
      </c>
      <c r="F394" s="137">
        <v>0.8</v>
      </c>
      <c r="G394" s="137">
        <v>0.9</v>
      </c>
      <c r="H394" s="24"/>
      <c r="I394" s="24"/>
      <c r="J394" s="215" t="s">
        <v>970</v>
      </c>
    </row>
    <row r="395" spans="1:10" ht="53.25" customHeight="1" x14ac:dyDescent="0.25">
      <c r="A395" s="22"/>
      <c r="B395" s="22"/>
      <c r="C395" s="22"/>
      <c r="D395" s="1403"/>
      <c r="E395" s="152" t="s">
        <v>1065</v>
      </c>
      <c r="F395" s="221" t="s">
        <v>1066</v>
      </c>
      <c r="G395" s="221" t="s">
        <v>1067</v>
      </c>
      <c r="H395" s="24"/>
      <c r="I395" s="24"/>
      <c r="J395" s="215" t="s">
        <v>970</v>
      </c>
    </row>
    <row r="396" spans="1:10" ht="40.5" customHeight="1" x14ac:dyDescent="0.25">
      <c r="A396" s="22"/>
      <c r="B396" s="22"/>
      <c r="C396" s="22"/>
      <c r="D396" s="1403"/>
      <c r="E396" s="152" t="s">
        <v>1068</v>
      </c>
      <c r="F396" s="137">
        <v>0.7</v>
      </c>
      <c r="G396" s="137">
        <v>0.95</v>
      </c>
      <c r="H396" s="24"/>
      <c r="I396" s="24"/>
      <c r="J396" s="215" t="s">
        <v>970</v>
      </c>
    </row>
    <row r="397" spans="1:10" ht="39.75" customHeight="1" x14ac:dyDescent="0.25">
      <c r="A397" s="22"/>
      <c r="B397" s="22"/>
      <c r="C397" s="22"/>
      <c r="D397" s="1403"/>
      <c r="E397" s="152" t="s">
        <v>1069</v>
      </c>
      <c r="F397" s="137">
        <v>0.9</v>
      </c>
      <c r="G397" s="137">
        <v>0.95</v>
      </c>
      <c r="H397" s="24"/>
      <c r="I397" s="24"/>
      <c r="J397" s="215" t="s">
        <v>970</v>
      </c>
    </row>
    <row r="398" spans="1:10" ht="46.5" customHeight="1" x14ac:dyDescent="0.25">
      <c r="A398" s="22"/>
      <c r="B398" s="22"/>
      <c r="C398" s="22"/>
      <c r="D398" s="1336"/>
      <c r="E398" s="152" t="s">
        <v>1070</v>
      </c>
      <c r="F398" s="197" t="s">
        <v>1071</v>
      </c>
      <c r="G398" s="197" t="s">
        <v>1072</v>
      </c>
      <c r="H398" s="24"/>
      <c r="I398" s="24"/>
      <c r="J398" s="215" t="s">
        <v>970</v>
      </c>
    </row>
    <row r="399" spans="1:10" ht="92.25" customHeight="1" x14ac:dyDescent="0.25">
      <c r="A399" s="22"/>
      <c r="B399" s="22"/>
      <c r="C399" s="57"/>
      <c r="D399" s="22" t="s">
        <v>1073</v>
      </c>
      <c r="E399" s="152" t="s">
        <v>1074</v>
      </c>
      <c r="F399" s="197" t="s">
        <v>1075</v>
      </c>
      <c r="G399" s="197" t="s">
        <v>1075</v>
      </c>
      <c r="H399" s="24"/>
      <c r="I399" s="24"/>
      <c r="J399" s="215" t="s">
        <v>970</v>
      </c>
    </row>
    <row r="400" spans="1:10" ht="66" customHeight="1" x14ac:dyDescent="0.25">
      <c r="A400" s="22"/>
      <c r="B400" s="22"/>
      <c r="C400" s="22" t="s">
        <v>1076</v>
      </c>
      <c r="D400" s="208" t="s">
        <v>1077</v>
      </c>
      <c r="E400" s="152" t="s">
        <v>1078</v>
      </c>
      <c r="F400" s="222" t="s">
        <v>1079</v>
      </c>
      <c r="G400" s="222" t="s">
        <v>1080</v>
      </c>
      <c r="H400" s="24"/>
      <c r="I400" s="24"/>
      <c r="J400" s="215" t="s">
        <v>970</v>
      </c>
    </row>
    <row r="401" spans="1:10" ht="66.75" customHeight="1" x14ac:dyDescent="0.25">
      <c r="A401" s="22"/>
      <c r="B401" s="22"/>
      <c r="C401" s="22"/>
      <c r="D401" s="208" t="s">
        <v>1081</v>
      </c>
      <c r="E401" s="152" t="s">
        <v>1082</v>
      </c>
      <c r="F401" s="137">
        <v>0.8</v>
      </c>
      <c r="G401" s="137">
        <v>0.9</v>
      </c>
      <c r="H401" s="24"/>
      <c r="I401" s="24"/>
      <c r="J401" s="215" t="s">
        <v>970</v>
      </c>
    </row>
    <row r="402" spans="1:10" ht="39" customHeight="1" x14ac:dyDescent="0.25">
      <c r="A402" s="22"/>
      <c r="B402" s="22"/>
      <c r="C402" s="22"/>
      <c r="D402" s="1444" t="s">
        <v>1083</v>
      </c>
      <c r="E402" s="22" t="s">
        <v>1084</v>
      </c>
      <c r="F402" s="197" t="s">
        <v>1085</v>
      </c>
      <c r="G402" s="197" t="s">
        <v>1086</v>
      </c>
      <c r="H402" s="24"/>
      <c r="I402" s="24"/>
      <c r="J402" s="215" t="s">
        <v>970</v>
      </c>
    </row>
    <row r="403" spans="1:10" ht="43.5" customHeight="1" x14ac:dyDescent="0.25">
      <c r="A403" s="22"/>
      <c r="B403" s="22"/>
      <c r="C403" s="22"/>
      <c r="D403" s="1445"/>
      <c r="E403" s="152" t="s">
        <v>1087</v>
      </c>
      <c r="F403" s="197" t="s">
        <v>1086</v>
      </c>
      <c r="G403" s="197" t="s">
        <v>1086</v>
      </c>
      <c r="H403" s="24"/>
      <c r="I403" s="24"/>
      <c r="J403" s="215" t="s">
        <v>970</v>
      </c>
    </row>
    <row r="404" spans="1:10" ht="94.5" customHeight="1" x14ac:dyDescent="0.25">
      <c r="A404" s="82" t="s">
        <v>1088</v>
      </c>
      <c r="B404" s="82" t="s">
        <v>1089</v>
      </c>
      <c r="C404" s="205" t="s">
        <v>1090</v>
      </c>
      <c r="D404" s="205" t="s">
        <v>1091</v>
      </c>
      <c r="E404" s="223" t="s">
        <v>1092</v>
      </c>
      <c r="F404" s="224" t="s">
        <v>1093</v>
      </c>
      <c r="G404" s="224" t="s">
        <v>1094</v>
      </c>
      <c r="H404" s="143" t="s">
        <v>1095</v>
      </c>
      <c r="I404" s="225" t="s">
        <v>1096</v>
      </c>
      <c r="J404" s="226" t="s">
        <v>1097</v>
      </c>
    </row>
    <row r="405" spans="1:10" ht="39.75" customHeight="1" x14ac:dyDescent="0.25">
      <c r="A405" s="82"/>
      <c r="B405" s="82"/>
      <c r="C405" s="205"/>
      <c r="D405" s="205"/>
      <c r="E405" s="152" t="s">
        <v>1098</v>
      </c>
      <c r="F405" s="227" t="s">
        <v>1099</v>
      </c>
      <c r="G405" s="227" t="s">
        <v>1100</v>
      </c>
      <c r="H405" s="143"/>
      <c r="I405" s="225" t="s">
        <v>1096</v>
      </c>
      <c r="J405" s="32" t="s">
        <v>1097</v>
      </c>
    </row>
    <row r="406" spans="1:10" ht="39.75" customHeight="1" x14ac:dyDescent="0.25">
      <c r="A406" s="82"/>
      <c r="B406" s="82"/>
      <c r="C406" s="205"/>
      <c r="D406" s="205"/>
      <c r="E406" s="152" t="s">
        <v>1101</v>
      </c>
      <c r="F406" s="227" t="s">
        <v>1102</v>
      </c>
      <c r="G406" s="227" t="s">
        <v>1103</v>
      </c>
      <c r="H406" s="143"/>
      <c r="I406" s="225" t="s">
        <v>1096</v>
      </c>
      <c r="J406" s="32" t="s">
        <v>1097</v>
      </c>
    </row>
    <row r="407" spans="1:10" ht="42.75" customHeight="1" x14ac:dyDescent="0.25">
      <c r="A407" s="82"/>
      <c r="B407" s="82"/>
      <c r="C407" s="205"/>
      <c r="D407" s="205"/>
      <c r="E407" s="152" t="s">
        <v>1104</v>
      </c>
      <c r="F407" s="227" t="s">
        <v>1105</v>
      </c>
      <c r="G407" s="227" t="s">
        <v>1106</v>
      </c>
      <c r="H407" s="143"/>
      <c r="I407" s="225" t="s">
        <v>1096</v>
      </c>
      <c r="J407" s="32" t="s">
        <v>1097</v>
      </c>
    </row>
    <row r="408" spans="1:10" ht="54" customHeight="1" x14ac:dyDescent="0.25">
      <c r="A408" s="82"/>
      <c r="B408" s="82"/>
      <c r="C408" s="205"/>
      <c r="D408" s="205"/>
      <c r="E408" s="152" t="s">
        <v>1107</v>
      </c>
      <c r="F408" s="228" t="s">
        <v>1108</v>
      </c>
      <c r="G408" s="228" t="s">
        <v>1109</v>
      </c>
      <c r="H408" s="143"/>
      <c r="I408" s="225" t="s">
        <v>1096</v>
      </c>
      <c r="J408" s="32" t="s">
        <v>1097</v>
      </c>
    </row>
    <row r="409" spans="1:10" ht="79.5" customHeight="1" x14ac:dyDescent="0.25">
      <c r="A409" s="22"/>
      <c r="B409" s="22"/>
      <c r="C409" s="1335" t="s">
        <v>1110</v>
      </c>
      <c r="D409" s="1335" t="s">
        <v>1111</v>
      </c>
      <c r="E409" s="152" t="s">
        <v>1112</v>
      </c>
      <c r="F409" s="39" t="s">
        <v>1113</v>
      </c>
      <c r="G409" s="34">
        <v>1</v>
      </c>
      <c r="H409" s="27" t="s">
        <v>1114</v>
      </c>
      <c r="I409" s="225" t="s">
        <v>849</v>
      </c>
      <c r="J409" s="32" t="s">
        <v>1115</v>
      </c>
    </row>
    <row r="410" spans="1:10" ht="57.75" customHeight="1" x14ac:dyDescent="0.25">
      <c r="A410" s="22"/>
      <c r="B410" s="22"/>
      <c r="C410" s="1336"/>
      <c r="D410" s="1336"/>
      <c r="E410" s="152" t="s">
        <v>1116</v>
      </c>
      <c r="F410" s="34">
        <v>1</v>
      </c>
      <c r="G410" s="34">
        <v>1</v>
      </c>
      <c r="H410" s="27" t="s">
        <v>1117</v>
      </c>
      <c r="I410" s="225" t="s">
        <v>849</v>
      </c>
      <c r="J410" s="32" t="s">
        <v>1115</v>
      </c>
    </row>
    <row r="411" spans="1:10" ht="81" customHeight="1" x14ac:dyDescent="0.25">
      <c r="A411" s="22"/>
      <c r="B411" s="22"/>
      <c r="C411" s="75" t="s">
        <v>1118</v>
      </c>
      <c r="D411" s="229" t="s">
        <v>1119</v>
      </c>
      <c r="E411" s="152" t="s">
        <v>1120</v>
      </c>
      <c r="F411" s="34">
        <v>1</v>
      </c>
      <c r="G411" s="34">
        <v>1</v>
      </c>
      <c r="H411" s="1429" t="s">
        <v>1121</v>
      </c>
      <c r="I411" s="225" t="s">
        <v>849</v>
      </c>
      <c r="J411" s="32" t="s">
        <v>1115</v>
      </c>
    </row>
    <row r="412" spans="1:10" ht="68.25" customHeight="1" x14ac:dyDescent="0.25">
      <c r="A412" s="22"/>
      <c r="B412" s="22"/>
      <c r="C412" s="75"/>
      <c r="D412" s="229"/>
      <c r="E412" s="152" t="s">
        <v>1122</v>
      </c>
      <c r="F412" s="34">
        <v>1</v>
      </c>
      <c r="G412" s="34">
        <v>1</v>
      </c>
      <c r="H412" s="1430"/>
      <c r="I412" s="225" t="s">
        <v>849</v>
      </c>
      <c r="J412" s="32" t="s">
        <v>1115</v>
      </c>
    </row>
    <row r="413" spans="1:10" ht="79.5" customHeight="1" x14ac:dyDescent="0.25">
      <c r="A413" s="82"/>
      <c r="B413" s="82"/>
      <c r="C413" s="176"/>
      <c r="D413" s="152" t="s">
        <v>1123</v>
      </c>
      <c r="E413" s="23" t="s">
        <v>1124</v>
      </c>
      <c r="F413" s="137">
        <v>0.25</v>
      </c>
      <c r="G413" s="137">
        <v>0.43</v>
      </c>
      <c r="H413" s="21" t="s">
        <v>1125</v>
      </c>
      <c r="I413" s="165" t="s">
        <v>1783</v>
      </c>
      <c r="J413" s="32" t="s">
        <v>1126</v>
      </c>
    </row>
    <row r="414" spans="1:10" ht="90" customHeight="1" x14ac:dyDescent="0.25">
      <c r="A414" s="230"/>
      <c r="B414" s="230"/>
      <c r="C414" s="27"/>
      <c r="D414" s="115"/>
      <c r="E414" s="23" t="s">
        <v>1127</v>
      </c>
      <c r="F414" s="178">
        <v>0.5</v>
      </c>
      <c r="G414" s="137">
        <v>0.56000000000000005</v>
      </c>
      <c r="H414" s="21" t="s">
        <v>1128</v>
      </c>
      <c r="I414" s="165" t="s">
        <v>1783</v>
      </c>
      <c r="J414" s="32" t="s">
        <v>1126</v>
      </c>
    </row>
    <row r="415" spans="1:10" ht="45" customHeight="1" x14ac:dyDescent="0.25">
      <c r="A415" s="230"/>
      <c r="B415" s="230"/>
      <c r="C415" s="27"/>
      <c r="D415" s="115"/>
      <c r="E415" s="30" t="s">
        <v>1129</v>
      </c>
      <c r="F415" s="1342"/>
      <c r="G415" s="1343"/>
      <c r="H415" s="21"/>
      <c r="I415" s="68"/>
      <c r="J415" s="32" t="s">
        <v>1126</v>
      </c>
    </row>
    <row r="416" spans="1:10" ht="81.75" customHeight="1" x14ac:dyDescent="0.25">
      <c r="A416" s="230"/>
      <c r="B416" s="230"/>
      <c r="C416" s="27"/>
      <c r="D416" s="115"/>
      <c r="E416" s="231" t="s">
        <v>1130</v>
      </c>
      <c r="F416" s="32" t="s">
        <v>1131</v>
      </c>
      <c r="G416" s="39" t="s">
        <v>1132</v>
      </c>
      <c r="H416" s="21" t="s">
        <v>1133</v>
      </c>
      <c r="I416" s="165" t="s">
        <v>1783</v>
      </c>
      <c r="J416" s="32" t="s">
        <v>1126</v>
      </c>
    </row>
    <row r="417" spans="1:10" ht="28.5" customHeight="1" x14ac:dyDescent="0.25">
      <c r="A417" s="230"/>
      <c r="B417" s="230"/>
      <c r="C417" s="27"/>
      <c r="D417" s="115"/>
      <c r="E417" s="231" t="s">
        <v>1134</v>
      </c>
      <c r="F417" s="191" t="s">
        <v>217</v>
      </c>
      <c r="G417" s="197">
        <v>1</v>
      </c>
      <c r="H417" s="21"/>
      <c r="I417" s="68"/>
      <c r="J417" s="32" t="s">
        <v>1126</v>
      </c>
    </row>
    <row r="418" spans="1:10" ht="29.25" customHeight="1" x14ac:dyDescent="0.25">
      <c r="A418" s="230"/>
      <c r="B418" s="230"/>
      <c r="C418" s="27"/>
      <c r="D418" s="115"/>
      <c r="E418" s="231" t="s">
        <v>1135</v>
      </c>
      <c r="F418" s="191" t="s">
        <v>217</v>
      </c>
      <c r="G418" s="197">
        <v>1</v>
      </c>
      <c r="H418" s="21"/>
      <c r="I418" s="68"/>
      <c r="J418" s="32" t="s">
        <v>1126</v>
      </c>
    </row>
    <row r="419" spans="1:10" ht="35.25" customHeight="1" x14ac:dyDescent="0.25">
      <c r="A419" s="230"/>
      <c r="B419" s="230"/>
      <c r="C419" s="27"/>
      <c r="D419" s="115"/>
      <c r="E419" s="176" t="s">
        <v>1136</v>
      </c>
      <c r="F419" s="1344"/>
      <c r="G419" s="1345"/>
      <c r="H419" s="21"/>
      <c r="I419" s="68"/>
      <c r="J419" s="32"/>
    </row>
    <row r="420" spans="1:10" ht="25.5" customHeight="1" x14ac:dyDescent="0.25">
      <c r="A420" s="230"/>
      <c r="B420" s="230"/>
      <c r="C420" s="27"/>
      <c r="D420" s="115"/>
      <c r="E420" s="231" t="s">
        <v>1130</v>
      </c>
      <c r="F420" s="232" t="s">
        <v>217</v>
      </c>
      <c r="G420" s="233">
        <v>1</v>
      </c>
      <c r="H420" s="21"/>
      <c r="I420" s="68"/>
      <c r="J420" s="32" t="s">
        <v>1126</v>
      </c>
    </row>
    <row r="421" spans="1:10" ht="33" customHeight="1" x14ac:dyDescent="0.25">
      <c r="A421" s="230"/>
      <c r="B421" s="230"/>
      <c r="C421" s="27"/>
      <c r="D421" s="115"/>
      <c r="E421" s="231" t="s">
        <v>1134</v>
      </c>
      <c r="F421" s="232" t="s">
        <v>217</v>
      </c>
      <c r="G421" s="233">
        <v>1</v>
      </c>
      <c r="H421" s="21"/>
      <c r="I421" s="68"/>
      <c r="J421" s="32" t="s">
        <v>1126</v>
      </c>
    </row>
    <row r="422" spans="1:10" ht="27" customHeight="1" x14ac:dyDescent="0.25">
      <c r="A422" s="230"/>
      <c r="B422" s="230"/>
      <c r="C422" s="27"/>
      <c r="D422" s="115"/>
      <c r="E422" s="231" t="s">
        <v>1135</v>
      </c>
      <c r="F422" s="232" t="s">
        <v>217</v>
      </c>
      <c r="G422" s="233">
        <v>1</v>
      </c>
      <c r="H422" s="21"/>
      <c r="I422" s="68"/>
      <c r="J422" s="32" t="s">
        <v>1126</v>
      </c>
    </row>
    <row r="423" spans="1:10" ht="69" customHeight="1" x14ac:dyDescent="0.25">
      <c r="A423" s="230"/>
      <c r="B423" s="230"/>
      <c r="C423" s="27"/>
      <c r="D423" s="115"/>
      <c r="E423" s="30" t="s">
        <v>1137</v>
      </c>
      <c r="F423" s="197" t="s">
        <v>381</v>
      </c>
      <c r="G423" s="197" t="s">
        <v>1138</v>
      </c>
      <c r="H423" s="21" t="s">
        <v>1139</v>
      </c>
      <c r="I423" s="165" t="s">
        <v>1783</v>
      </c>
      <c r="J423" s="32" t="s">
        <v>1126</v>
      </c>
    </row>
    <row r="424" spans="1:10" ht="83.25" customHeight="1" x14ac:dyDescent="0.25">
      <c r="A424" s="230"/>
      <c r="B424" s="230"/>
      <c r="C424" s="27"/>
      <c r="D424" s="115"/>
      <c r="E424" s="30" t="s">
        <v>1140</v>
      </c>
      <c r="F424" s="53" t="s">
        <v>1141</v>
      </c>
      <c r="G424" s="53" t="s">
        <v>1142</v>
      </c>
      <c r="H424" s="21" t="s">
        <v>1143</v>
      </c>
      <c r="I424" s="165" t="s">
        <v>1783</v>
      </c>
      <c r="J424" s="32" t="s">
        <v>1126</v>
      </c>
    </row>
    <row r="425" spans="1:10" ht="48.75" customHeight="1" x14ac:dyDescent="0.25">
      <c r="A425" s="230"/>
      <c r="B425" s="230"/>
      <c r="C425" s="206"/>
      <c r="D425" s="115"/>
      <c r="E425" s="162"/>
      <c r="F425" s="53"/>
      <c r="G425" s="53"/>
      <c r="H425" s="21" t="s">
        <v>1810</v>
      </c>
      <c r="I425" s="165" t="s">
        <v>1783</v>
      </c>
      <c r="J425" s="109" t="s">
        <v>1126</v>
      </c>
    </row>
    <row r="426" spans="1:10" ht="54.75" customHeight="1" x14ac:dyDescent="0.25">
      <c r="A426" s="230"/>
      <c r="B426" s="230"/>
      <c r="C426" s="206"/>
      <c r="D426" s="115"/>
      <c r="E426" s="162"/>
      <c r="F426" s="53"/>
      <c r="G426" s="53"/>
      <c r="H426" s="21" t="s">
        <v>1811</v>
      </c>
      <c r="I426" s="165" t="s">
        <v>1783</v>
      </c>
      <c r="J426" s="109" t="s">
        <v>1126</v>
      </c>
    </row>
    <row r="427" spans="1:10" ht="57.75" customHeight="1" x14ac:dyDescent="0.25">
      <c r="A427" s="230"/>
      <c r="B427" s="230"/>
      <c r="C427" s="206"/>
      <c r="D427" s="115"/>
      <c r="E427" s="162"/>
      <c r="F427" s="53"/>
      <c r="G427" s="53"/>
      <c r="H427" s="21" t="s">
        <v>1812</v>
      </c>
      <c r="I427" s="165" t="s">
        <v>1783</v>
      </c>
      <c r="J427" s="109" t="s">
        <v>1126</v>
      </c>
    </row>
    <row r="428" spans="1:10" ht="123.75" customHeight="1" x14ac:dyDescent="0.25">
      <c r="A428" s="82" t="s">
        <v>1144</v>
      </c>
      <c r="B428" s="67" t="s">
        <v>1145</v>
      </c>
      <c r="C428" s="234" t="s">
        <v>1146</v>
      </c>
      <c r="D428" s="176" t="s">
        <v>1147</v>
      </c>
      <c r="E428" s="176" t="s">
        <v>1148</v>
      </c>
      <c r="F428" s="34">
        <v>0.24</v>
      </c>
      <c r="G428" s="34">
        <v>0.95</v>
      </c>
      <c r="H428" s="21" t="s">
        <v>1149</v>
      </c>
      <c r="I428" s="33" t="s">
        <v>1150</v>
      </c>
      <c r="J428" s="33" t="s">
        <v>456</v>
      </c>
    </row>
    <row r="429" spans="1:10" ht="149.25" customHeight="1" x14ac:dyDescent="0.25">
      <c r="A429" s="66"/>
      <c r="B429" s="66"/>
      <c r="C429" s="26"/>
      <c r="D429" s="26"/>
      <c r="E429" s="176" t="s">
        <v>1151</v>
      </c>
      <c r="F429" s="34">
        <v>0</v>
      </c>
      <c r="G429" s="34">
        <v>1</v>
      </c>
      <c r="H429" s="21" t="s">
        <v>1152</v>
      </c>
      <c r="I429" s="33" t="s">
        <v>1150</v>
      </c>
      <c r="J429" s="33" t="s">
        <v>456</v>
      </c>
    </row>
    <row r="430" spans="1:10" ht="108.75" customHeight="1" x14ac:dyDescent="0.25">
      <c r="A430" s="66"/>
      <c r="B430" s="66"/>
      <c r="C430" s="26"/>
      <c r="D430" s="26"/>
      <c r="E430" s="176" t="s">
        <v>1153</v>
      </c>
      <c r="F430" s="34">
        <v>0</v>
      </c>
      <c r="G430" s="34">
        <v>1</v>
      </c>
      <c r="H430" s="26" t="s">
        <v>1154</v>
      </c>
      <c r="I430" s="33" t="s">
        <v>1150</v>
      </c>
      <c r="J430" s="33" t="s">
        <v>456</v>
      </c>
    </row>
    <row r="431" spans="1:10" ht="144.75" customHeight="1" x14ac:dyDescent="0.25">
      <c r="A431" s="66"/>
      <c r="B431" s="66"/>
      <c r="C431" s="48"/>
      <c r="D431" s="48"/>
      <c r="E431" s="235" t="s">
        <v>1155</v>
      </c>
      <c r="F431" s="196">
        <v>0</v>
      </c>
      <c r="G431" s="196">
        <v>1</v>
      </c>
      <c r="H431" s="26"/>
      <c r="I431" s="171" t="s">
        <v>1150</v>
      </c>
      <c r="J431" s="171" t="s">
        <v>456</v>
      </c>
    </row>
    <row r="432" spans="1:10" ht="85.5" customHeight="1" x14ac:dyDescent="0.25">
      <c r="A432" s="66"/>
      <c r="B432" s="66"/>
      <c r="C432" s="26"/>
      <c r="D432" s="26"/>
      <c r="E432" s="41" t="s">
        <v>1156</v>
      </c>
      <c r="F432" s="34">
        <v>1</v>
      </c>
      <c r="G432" s="34">
        <v>1</v>
      </c>
      <c r="H432" s="26"/>
      <c r="I432" s="33" t="s">
        <v>1150</v>
      </c>
      <c r="J432" s="33" t="s">
        <v>456</v>
      </c>
    </row>
    <row r="433" spans="1:10" ht="104.25" customHeight="1" x14ac:dyDescent="0.25">
      <c r="A433" s="66"/>
      <c r="B433" s="66"/>
      <c r="C433" s="26"/>
      <c r="D433" s="26"/>
      <c r="E433" s="41" t="s">
        <v>1157</v>
      </c>
      <c r="F433" s="34">
        <v>0</v>
      </c>
      <c r="G433" s="34">
        <v>0</v>
      </c>
      <c r="H433" s="26"/>
      <c r="I433" s="33" t="s">
        <v>1150</v>
      </c>
      <c r="J433" s="33" t="s">
        <v>456</v>
      </c>
    </row>
    <row r="434" spans="1:10" ht="116.25" customHeight="1" x14ac:dyDescent="0.25">
      <c r="A434" s="66"/>
      <c r="B434" s="66"/>
      <c r="C434" s="26"/>
      <c r="D434" s="26"/>
      <c r="E434" s="41" t="s">
        <v>1158</v>
      </c>
      <c r="F434" s="34">
        <v>0</v>
      </c>
      <c r="G434" s="34">
        <v>0.99</v>
      </c>
      <c r="H434" s="21" t="s">
        <v>1159</v>
      </c>
      <c r="I434" s="33" t="s">
        <v>1150</v>
      </c>
      <c r="J434" s="33" t="s">
        <v>456</v>
      </c>
    </row>
    <row r="435" spans="1:10" ht="51" x14ac:dyDescent="0.25">
      <c r="A435" s="22"/>
      <c r="B435" s="22"/>
      <c r="C435" s="27"/>
      <c r="D435" s="27" t="s">
        <v>1160</v>
      </c>
      <c r="E435" s="21" t="s">
        <v>1161</v>
      </c>
      <c r="F435" s="32" t="s">
        <v>1162</v>
      </c>
      <c r="G435" s="32" t="s">
        <v>1162</v>
      </c>
      <c r="H435" s="27" t="s">
        <v>1163</v>
      </c>
      <c r="I435" s="32" t="s">
        <v>849</v>
      </c>
      <c r="J435" s="39" t="s">
        <v>1164</v>
      </c>
    </row>
    <row r="436" spans="1:10" ht="51" x14ac:dyDescent="0.25">
      <c r="A436" s="22"/>
      <c r="B436" s="22"/>
      <c r="C436" s="27"/>
      <c r="D436" s="27" t="s">
        <v>1160</v>
      </c>
      <c r="E436" s="21" t="s">
        <v>1161</v>
      </c>
      <c r="F436" s="32" t="s">
        <v>1165</v>
      </c>
      <c r="G436" s="32" t="s">
        <v>1166</v>
      </c>
      <c r="H436" s="27" t="s">
        <v>1163</v>
      </c>
      <c r="I436" s="32" t="s">
        <v>849</v>
      </c>
      <c r="J436" s="39" t="s">
        <v>1167</v>
      </c>
    </row>
    <row r="437" spans="1:10" ht="51" x14ac:dyDescent="0.25">
      <c r="A437" s="22"/>
      <c r="B437" s="22"/>
      <c r="C437" s="27"/>
      <c r="D437" s="27" t="s">
        <v>1160</v>
      </c>
      <c r="E437" s="21" t="s">
        <v>1161</v>
      </c>
      <c r="F437" s="32" t="s">
        <v>1168</v>
      </c>
      <c r="G437" s="32" t="s">
        <v>1168</v>
      </c>
      <c r="H437" s="27" t="s">
        <v>1163</v>
      </c>
      <c r="I437" s="32" t="s">
        <v>849</v>
      </c>
      <c r="J437" s="39" t="s">
        <v>1169</v>
      </c>
    </row>
    <row r="438" spans="1:10" ht="51" x14ac:dyDescent="0.25">
      <c r="A438" s="22"/>
      <c r="B438" s="22"/>
      <c r="C438" s="27"/>
      <c r="D438" s="27" t="s">
        <v>1160</v>
      </c>
      <c r="E438" s="21" t="s">
        <v>1161</v>
      </c>
      <c r="F438" s="32" t="s">
        <v>1170</v>
      </c>
      <c r="G438" s="32" t="s">
        <v>1170</v>
      </c>
      <c r="H438" s="27" t="s">
        <v>1163</v>
      </c>
      <c r="I438" s="32" t="s">
        <v>849</v>
      </c>
      <c r="J438" s="39" t="s">
        <v>1171</v>
      </c>
    </row>
    <row r="439" spans="1:10" ht="51" x14ac:dyDescent="0.25">
      <c r="A439" s="22"/>
      <c r="B439" s="22"/>
      <c r="C439" s="27"/>
      <c r="D439" s="27" t="s">
        <v>1160</v>
      </c>
      <c r="E439" s="21" t="s">
        <v>1161</v>
      </c>
      <c r="F439" s="32" t="s">
        <v>1172</v>
      </c>
      <c r="G439" s="32" t="s">
        <v>1172</v>
      </c>
      <c r="H439" s="27" t="s">
        <v>1163</v>
      </c>
      <c r="I439" s="32" t="s">
        <v>849</v>
      </c>
      <c r="J439" s="39" t="s">
        <v>1173</v>
      </c>
    </row>
    <row r="440" spans="1:10" ht="51" x14ac:dyDescent="0.25">
      <c r="A440" s="22"/>
      <c r="B440" s="22"/>
      <c r="C440" s="27"/>
      <c r="D440" s="27" t="s">
        <v>1160</v>
      </c>
      <c r="E440" s="21" t="s">
        <v>1161</v>
      </c>
      <c r="F440" s="32" t="s">
        <v>1174</v>
      </c>
      <c r="G440" s="32" t="s">
        <v>1174</v>
      </c>
      <c r="H440" s="27" t="s">
        <v>1163</v>
      </c>
      <c r="I440" s="32" t="s">
        <v>849</v>
      </c>
      <c r="J440" s="39" t="s">
        <v>1175</v>
      </c>
    </row>
    <row r="441" spans="1:10" ht="51" x14ac:dyDescent="0.25">
      <c r="A441" s="22"/>
      <c r="B441" s="22"/>
      <c r="C441" s="27"/>
      <c r="D441" s="27" t="s">
        <v>1160</v>
      </c>
      <c r="E441" s="21" t="s">
        <v>1161</v>
      </c>
      <c r="F441" s="32" t="s">
        <v>1162</v>
      </c>
      <c r="G441" s="32" t="s">
        <v>1162</v>
      </c>
      <c r="H441" s="27" t="s">
        <v>1163</v>
      </c>
      <c r="I441" s="32" t="s">
        <v>849</v>
      </c>
      <c r="J441" s="91" t="s">
        <v>1176</v>
      </c>
    </row>
    <row r="442" spans="1:10" ht="51" x14ac:dyDescent="0.25">
      <c r="A442" s="22"/>
      <c r="B442" s="22"/>
      <c r="C442" s="27"/>
      <c r="D442" s="27" t="s">
        <v>1160</v>
      </c>
      <c r="E442" s="21" t="s">
        <v>1161</v>
      </c>
      <c r="F442" s="32" t="s">
        <v>1177</v>
      </c>
      <c r="G442" s="32" t="s">
        <v>1177</v>
      </c>
      <c r="H442" s="27" t="s">
        <v>1163</v>
      </c>
      <c r="I442" s="32" t="s">
        <v>849</v>
      </c>
      <c r="J442" s="39" t="s">
        <v>1178</v>
      </c>
    </row>
    <row r="443" spans="1:10" ht="51" x14ac:dyDescent="0.25">
      <c r="A443" s="22"/>
      <c r="B443" s="22"/>
      <c r="C443" s="27"/>
      <c r="D443" s="27" t="s">
        <v>1160</v>
      </c>
      <c r="E443" s="21" t="s">
        <v>1161</v>
      </c>
      <c r="F443" s="32" t="s">
        <v>1179</v>
      </c>
      <c r="G443" s="32" t="s">
        <v>1179</v>
      </c>
      <c r="H443" s="27" t="s">
        <v>1163</v>
      </c>
      <c r="I443" s="32" t="s">
        <v>849</v>
      </c>
      <c r="J443" s="39" t="s">
        <v>1180</v>
      </c>
    </row>
    <row r="444" spans="1:10" ht="51" x14ac:dyDescent="0.25">
      <c r="A444" s="22"/>
      <c r="B444" s="22"/>
      <c r="C444" s="27"/>
      <c r="D444" s="27" t="s">
        <v>1160</v>
      </c>
      <c r="E444" s="21" t="s">
        <v>1161</v>
      </c>
      <c r="F444" s="32" t="s">
        <v>1181</v>
      </c>
      <c r="G444" s="32" t="s">
        <v>1181</v>
      </c>
      <c r="H444" s="27" t="s">
        <v>1163</v>
      </c>
      <c r="I444" s="32" t="s">
        <v>849</v>
      </c>
      <c r="J444" s="32" t="s">
        <v>1182</v>
      </c>
    </row>
    <row r="445" spans="1:10" ht="76.5" x14ac:dyDescent="0.25">
      <c r="A445" s="67" t="s">
        <v>1183</v>
      </c>
      <c r="B445" s="67" t="s">
        <v>1184</v>
      </c>
      <c r="C445" s="61" t="s">
        <v>1185</v>
      </c>
      <c r="D445" s="61" t="s">
        <v>1186</v>
      </c>
      <c r="E445" s="21" t="s">
        <v>1187</v>
      </c>
      <c r="F445" s="34">
        <v>0.25</v>
      </c>
      <c r="G445" s="34">
        <v>1</v>
      </c>
      <c r="H445" s="21" t="s">
        <v>1188</v>
      </c>
      <c r="I445" s="33" t="s">
        <v>1189</v>
      </c>
      <c r="J445" s="33" t="s">
        <v>456</v>
      </c>
    </row>
    <row r="446" spans="1:10" x14ac:dyDescent="0.25">
      <c r="A446" s="236" t="s">
        <v>1190</v>
      </c>
      <c r="B446" s="1332" t="s">
        <v>1191</v>
      </c>
      <c r="C446" s="1332"/>
      <c r="D446" s="1332"/>
      <c r="E446" s="1332"/>
      <c r="F446" s="1332"/>
      <c r="G446" s="1332"/>
      <c r="H446" s="1332"/>
      <c r="I446" s="1332"/>
      <c r="J446" s="1332"/>
    </row>
    <row r="447" spans="1:10" ht="76.5" x14ac:dyDescent="0.25">
      <c r="A447" s="214" t="s">
        <v>1192</v>
      </c>
      <c r="B447" s="214" t="s">
        <v>1193</v>
      </c>
      <c r="C447" s="214" t="s">
        <v>1194</v>
      </c>
      <c r="D447" s="214" t="s">
        <v>1195</v>
      </c>
      <c r="E447" s="95" t="s">
        <v>1196</v>
      </c>
      <c r="F447" s="237"/>
      <c r="G447" s="237"/>
      <c r="H447" s="238"/>
      <c r="I447" s="239"/>
      <c r="J447" s="240" t="s">
        <v>1197</v>
      </c>
    </row>
    <row r="448" spans="1:10" ht="25.5" x14ac:dyDescent="0.25">
      <c r="A448" s="214"/>
      <c r="B448" s="214"/>
      <c r="C448" s="214"/>
      <c r="D448" s="214"/>
      <c r="E448" s="95" t="s">
        <v>1198</v>
      </c>
      <c r="F448" s="237"/>
      <c r="G448" s="237"/>
      <c r="H448" s="241"/>
      <c r="I448" s="239"/>
      <c r="J448" s="240" t="s">
        <v>1197</v>
      </c>
    </row>
    <row r="449" spans="1:10" ht="25.5" x14ac:dyDescent="0.25">
      <c r="A449" s="214"/>
      <c r="B449" s="214"/>
      <c r="C449" s="214"/>
      <c r="D449" s="214"/>
      <c r="E449" s="95" t="s">
        <v>1199</v>
      </c>
      <c r="F449" s="237"/>
      <c r="G449" s="237"/>
      <c r="H449" s="241"/>
      <c r="I449" s="239"/>
      <c r="J449" s="240" t="s">
        <v>1197</v>
      </c>
    </row>
    <row r="450" spans="1:10" ht="63.75" x14ac:dyDescent="0.25">
      <c r="A450" s="22"/>
      <c r="B450" s="22"/>
      <c r="C450" s="75"/>
      <c r="D450" s="75"/>
      <c r="E450" s="152" t="s">
        <v>1200</v>
      </c>
      <c r="F450" s="242" t="s">
        <v>35</v>
      </c>
      <c r="G450" s="226" t="s">
        <v>1201</v>
      </c>
      <c r="H450" s="30" t="s">
        <v>1202</v>
      </c>
      <c r="I450" s="32" t="s">
        <v>849</v>
      </c>
      <c r="J450" s="39" t="s">
        <v>1164</v>
      </c>
    </row>
    <row r="451" spans="1:10" ht="63.75" x14ac:dyDescent="0.25">
      <c r="A451" s="22"/>
      <c r="B451" s="22"/>
      <c r="C451" s="27"/>
      <c r="D451" s="27"/>
      <c r="E451" s="152" t="s">
        <v>1200</v>
      </c>
      <c r="F451" s="191" t="s">
        <v>217</v>
      </c>
      <c r="G451" s="32" t="s">
        <v>1203</v>
      </c>
      <c r="H451" s="30" t="s">
        <v>1202</v>
      </c>
      <c r="I451" s="32" t="s">
        <v>849</v>
      </c>
      <c r="J451" s="39" t="s">
        <v>1167</v>
      </c>
    </row>
    <row r="452" spans="1:10" ht="63.75" x14ac:dyDescent="0.25">
      <c r="A452" s="22"/>
      <c r="B452" s="22"/>
      <c r="C452" s="75"/>
      <c r="D452" s="75"/>
      <c r="E452" s="152" t="s">
        <v>1200</v>
      </c>
      <c r="F452" s="242" t="s">
        <v>217</v>
      </c>
      <c r="G452" s="226" t="s">
        <v>1204</v>
      </c>
      <c r="H452" s="30" t="s">
        <v>1202</v>
      </c>
      <c r="I452" s="32" t="s">
        <v>849</v>
      </c>
      <c r="J452" s="39" t="s">
        <v>1169</v>
      </c>
    </row>
    <row r="453" spans="1:10" ht="63.75" x14ac:dyDescent="0.25">
      <c r="A453" s="22"/>
      <c r="B453" s="22"/>
      <c r="C453" s="75"/>
      <c r="D453" s="75"/>
      <c r="E453" s="152" t="s">
        <v>1200</v>
      </c>
      <c r="F453" s="242" t="s">
        <v>217</v>
      </c>
      <c r="G453" s="32" t="s">
        <v>1205</v>
      </c>
      <c r="H453" s="30" t="s">
        <v>1202</v>
      </c>
      <c r="I453" s="32" t="s">
        <v>849</v>
      </c>
      <c r="J453" s="39" t="s">
        <v>1171</v>
      </c>
    </row>
    <row r="454" spans="1:10" ht="63.75" x14ac:dyDescent="0.25">
      <c r="A454" s="22"/>
      <c r="B454" s="22"/>
      <c r="C454" s="75"/>
      <c r="D454" s="75"/>
      <c r="E454" s="152" t="s">
        <v>1200</v>
      </c>
      <c r="F454" s="242" t="s">
        <v>217</v>
      </c>
      <c r="G454" s="226" t="s">
        <v>1206</v>
      </c>
      <c r="H454" s="30" t="s">
        <v>1202</v>
      </c>
      <c r="I454" s="32" t="s">
        <v>849</v>
      </c>
      <c r="J454" s="39" t="s">
        <v>1173</v>
      </c>
    </row>
    <row r="455" spans="1:10" ht="63.75" x14ac:dyDescent="0.25">
      <c r="A455" s="22"/>
      <c r="B455" s="22"/>
      <c r="C455" s="75"/>
      <c r="D455" s="75"/>
      <c r="E455" s="152" t="s">
        <v>1200</v>
      </c>
      <c r="F455" s="242" t="s">
        <v>217</v>
      </c>
      <c r="G455" s="226" t="s">
        <v>1207</v>
      </c>
      <c r="H455" s="30" t="s">
        <v>1202</v>
      </c>
      <c r="I455" s="32" t="s">
        <v>849</v>
      </c>
      <c r="J455" s="39" t="s">
        <v>1175</v>
      </c>
    </row>
    <row r="456" spans="1:10" ht="63.75" x14ac:dyDescent="0.25">
      <c r="A456" s="22"/>
      <c r="B456" s="22"/>
      <c r="C456" s="75"/>
      <c r="D456" s="75"/>
      <c r="E456" s="152" t="s">
        <v>1200</v>
      </c>
      <c r="F456" s="242" t="s">
        <v>217</v>
      </c>
      <c r="G456" s="226" t="s">
        <v>1208</v>
      </c>
      <c r="H456" s="30" t="s">
        <v>1202</v>
      </c>
      <c r="I456" s="32" t="s">
        <v>849</v>
      </c>
      <c r="J456" s="91" t="s">
        <v>1176</v>
      </c>
    </row>
    <row r="457" spans="1:10" ht="63.75" x14ac:dyDescent="0.25">
      <c r="A457" s="22"/>
      <c r="B457" s="22"/>
      <c r="C457" s="75"/>
      <c r="D457" s="75"/>
      <c r="E457" s="152" t="s">
        <v>1200</v>
      </c>
      <c r="F457" s="242" t="s">
        <v>217</v>
      </c>
      <c r="G457" s="226" t="s">
        <v>1209</v>
      </c>
      <c r="H457" s="30" t="s">
        <v>1202</v>
      </c>
      <c r="I457" s="32" t="s">
        <v>849</v>
      </c>
      <c r="J457" s="39" t="s">
        <v>1178</v>
      </c>
    </row>
    <row r="458" spans="1:10" ht="63.75" x14ac:dyDescent="0.25">
      <c r="A458" s="22"/>
      <c r="B458" s="22"/>
      <c r="C458" s="75"/>
      <c r="D458" s="75"/>
      <c r="E458" s="152" t="s">
        <v>1200</v>
      </c>
      <c r="F458" s="242" t="s">
        <v>217</v>
      </c>
      <c r="G458" s="226" t="s">
        <v>1210</v>
      </c>
      <c r="H458" s="30" t="s">
        <v>1202</v>
      </c>
      <c r="I458" s="32" t="s">
        <v>849</v>
      </c>
      <c r="J458" s="39" t="s">
        <v>1180</v>
      </c>
    </row>
    <row r="459" spans="1:10" ht="63.75" x14ac:dyDescent="0.25">
      <c r="A459" s="22"/>
      <c r="B459" s="22"/>
      <c r="C459" s="75"/>
      <c r="D459" s="75"/>
      <c r="E459" s="152" t="s">
        <v>1200</v>
      </c>
      <c r="F459" s="242" t="s">
        <v>217</v>
      </c>
      <c r="G459" s="226" t="s">
        <v>1211</v>
      </c>
      <c r="H459" s="30" t="s">
        <v>1202</v>
      </c>
      <c r="I459" s="32" t="s">
        <v>849</v>
      </c>
      <c r="J459" s="32" t="s">
        <v>1182</v>
      </c>
    </row>
    <row r="460" spans="1:10" ht="63.75" x14ac:dyDescent="0.25">
      <c r="A460" s="214"/>
      <c r="B460" s="214"/>
      <c r="C460" s="214" t="s">
        <v>1212</v>
      </c>
      <c r="D460" s="214" t="s">
        <v>1213</v>
      </c>
      <c r="E460" s="172" t="s">
        <v>1214</v>
      </c>
      <c r="F460" s="237">
        <v>0.24</v>
      </c>
      <c r="G460" s="237">
        <v>0.04</v>
      </c>
      <c r="H460" s="238" t="s">
        <v>1215</v>
      </c>
      <c r="I460" s="239" t="s">
        <v>1216</v>
      </c>
      <c r="J460" s="240" t="s">
        <v>1217</v>
      </c>
    </row>
    <row r="461" spans="1:10" ht="51" x14ac:dyDescent="0.25">
      <c r="A461" s="214"/>
      <c r="B461" s="214"/>
      <c r="C461" s="214"/>
      <c r="D461" s="214"/>
      <c r="E461" s="83" t="s">
        <v>1218</v>
      </c>
      <c r="F461" s="237">
        <v>0</v>
      </c>
      <c r="G461" s="237">
        <v>0.8</v>
      </c>
      <c r="H461" s="243" t="s">
        <v>1219</v>
      </c>
      <c r="I461" s="239" t="s">
        <v>1220</v>
      </c>
      <c r="J461" s="240" t="s">
        <v>1217</v>
      </c>
    </row>
    <row r="462" spans="1:10" ht="51" x14ac:dyDescent="0.25">
      <c r="A462" s="214"/>
      <c r="B462" s="214"/>
      <c r="C462" s="214"/>
      <c r="D462" s="214"/>
      <c r="E462" s="172" t="s">
        <v>1221</v>
      </c>
      <c r="F462" s="237">
        <v>0</v>
      </c>
      <c r="G462" s="237">
        <v>0.8</v>
      </c>
      <c r="H462" s="244"/>
      <c r="I462" s="239" t="s">
        <v>1222</v>
      </c>
      <c r="J462" s="240" t="s">
        <v>1217</v>
      </c>
    </row>
    <row r="463" spans="1:10" ht="51" x14ac:dyDescent="0.25">
      <c r="A463" s="214"/>
      <c r="B463" s="214"/>
      <c r="C463" s="214"/>
      <c r="D463" s="214"/>
      <c r="E463" s="83" t="s">
        <v>1223</v>
      </c>
      <c r="F463" s="237">
        <v>0</v>
      </c>
      <c r="G463" s="237">
        <v>0.8</v>
      </c>
      <c r="H463" s="244"/>
      <c r="I463" s="239" t="s">
        <v>1220</v>
      </c>
      <c r="J463" s="245" t="s">
        <v>1197</v>
      </c>
    </row>
    <row r="464" spans="1:10" ht="51" x14ac:dyDescent="0.25">
      <c r="A464" s="214"/>
      <c r="B464" s="214"/>
      <c r="C464" s="214"/>
      <c r="D464" s="214"/>
      <c r="E464" s="176" t="s">
        <v>1224</v>
      </c>
      <c r="F464" s="237">
        <v>0</v>
      </c>
      <c r="G464" s="237">
        <v>0.8</v>
      </c>
      <c r="H464" s="246"/>
      <c r="I464" s="239" t="s">
        <v>1220</v>
      </c>
      <c r="J464" s="245" t="s">
        <v>1217</v>
      </c>
    </row>
    <row r="465" spans="1:10" ht="51" x14ac:dyDescent="0.25">
      <c r="A465" s="214"/>
      <c r="B465" s="214"/>
      <c r="C465" s="214"/>
      <c r="D465" s="247" t="s">
        <v>1225</v>
      </c>
      <c r="E465" s="174" t="s">
        <v>1226</v>
      </c>
      <c r="F465" s="237" t="s">
        <v>1227</v>
      </c>
      <c r="G465" s="237" t="s">
        <v>217</v>
      </c>
      <c r="H465" s="244"/>
      <c r="I465" s="239" t="s">
        <v>1228</v>
      </c>
      <c r="J465" s="245" t="s">
        <v>1217</v>
      </c>
    </row>
    <row r="466" spans="1:10" ht="38.25" x14ac:dyDescent="0.25">
      <c r="A466" s="214"/>
      <c r="B466" s="214"/>
      <c r="C466" s="214"/>
      <c r="D466" s="248"/>
      <c r="E466" s="174" t="s">
        <v>1229</v>
      </c>
      <c r="F466" s="237">
        <v>0.03</v>
      </c>
      <c r="G466" s="237">
        <v>0.03</v>
      </c>
      <c r="H466" s="244"/>
      <c r="I466" s="239" t="s">
        <v>1216</v>
      </c>
      <c r="J466" s="245" t="s">
        <v>1217</v>
      </c>
    </row>
    <row r="467" spans="1:10" ht="25.5" x14ac:dyDescent="0.25">
      <c r="A467" s="214"/>
      <c r="B467" s="214"/>
      <c r="C467" s="1333" t="s">
        <v>1230</v>
      </c>
      <c r="D467" s="1333" t="s">
        <v>1231</v>
      </c>
      <c r="E467" s="176" t="s">
        <v>1232</v>
      </c>
      <c r="F467" s="249" t="s">
        <v>1233</v>
      </c>
      <c r="G467" s="237" t="s">
        <v>1234</v>
      </c>
      <c r="H467" s="244"/>
      <c r="I467" s="239" t="s">
        <v>1235</v>
      </c>
      <c r="J467" s="245" t="s">
        <v>1217</v>
      </c>
    </row>
    <row r="468" spans="1:10" ht="51" x14ac:dyDescent="0.25">
      <c r="A468" s="214"/>
      <c r="B468" s="214"/>
      <c r="C468" s="1333"/>
      <c r="D468" s="1333"/>
      <c r="E468" s="176" t="s">
        <v>1236</v>
      </c>
      <c r="F468" s="237" t="s">
        <v>1237</v>
      </c>
      <c r="G468" s="237" t="s">
        <v>1238</v>
      </c>
      <c r="H468" s="250"/>
      <c r="I468" s="239" t="s">
        <v>1220</v>
      </c>
      <c r="J468" s="245" t="s">
        <v>1217</v>
      </c>
    </row>
    <row r="469" spans="1:10" ht="63.75" x14ac:dyDescent="0.25">
      <c r="A469" s="251" t="s">
        <v>1239</v>
      </c>
      <c r="B469" s="251" t="s">
        <v>1240</v>
      </c>
      <c r="C469" s="67" t="s">
        <v>1241</v>
      </c>
      <c r="D469" s="21" t="s">
        <v>1242</v>
      </c>
      <c r="E469" s="27" t="s">
        <v>1243</v>
      </c>
      <c r="F469" s="32" t="s">
        <v>1244</v>
      </c>
      <c r="G469" s="34">
        <v>1</v>
      </c>
      <c r="H469" s="22" t="s">
        <v>1245</v>
      </c>
      <c r="I469" s="39" t="s">
        <v>1246</v>
      </c>
      <c r="J469" s="32" t="s">
        <v>1247</v>
      </c>
    </row>
    <row r="470" spans="1:10" ht="38.25" x14ac:dyDescent="0.25">
      <c r="A470" s="252"/>
      <c r="B470" s="252"/>
      <c r="C470" s="66"/>
      <c r="D470" s="26"/>
      <c r="E470" s="27" t="s">
        <v>1248</v>
      </c>
      <c r="F470" s="32" t="s">
        <v>1249</v>
      </c>
      <c r="G470" s="32" t="s">
        <v>1250</v>
      </c>
      <c r="H470" s="1429" t="s">
        <v>1251</v>
      </c>
      <c r="I470" s="39" t="s">
        <v>1246</v>
      </c>
      <c r="J470" s="32" t="s">
        <v>1247</v>
      </c>
    </row>
    <row r="471" spans="1:10" ht="51" x14ac:dyDescent="0.25">
      <c r="A471" s="252"/>
      <c r="B471" s="252"/>
      <c r="C471" s="66"/>
      <c r="D471" s="26"/>
      <c r="E471" s="27" t="s">
        <v>1252</v>
      </c>
      <c r="F471" s="34">
        <v>0.13</v>
      </c>
      <c r="G471" s="34">
        <v>0.06</v>
      </c>
      <c r="H471" s="1430"/>
      <c r="I471" s="39" t="s">
        <v>1246</v>
      </c>
      <c r="J471" s="32" t="s">
        <v>1247</v>
      </c>
    </row>
    <row r="472" spans="1:10" x14ac:dyDescent="0.25">
      <c r="A472" s="175"/>
    </row>
    <row r="473" spans="1:10" x14ac:dyDescent="0.25">
      <c r="A473" s="175"/>
    </row>
    <row r="474" spans="1:10" x14ac:dyDescent="0.25">
      <c r="A474" s="253"/>
      <c r="B474" s="253"/>
      <c r="C474" s="51"/>
      <c r="D474" s="254"/>
      <c r="E474" s="253"/>
      <c r="F474" s="255"/>
      <c r="G474" s="255"/>
      <c r="H474" s="255"/>
      <c r="I474" s="255"/>
      <c r="J474" s="256"/>
    </row>
    <row r="475" spans="1:10" x14ac:dyDescent="0.25">
      <c r="A475" s="257"/>
      <c r="B475" s="257"/>
      <c r="C475" s="257"/>
      <c r="D475" s="257"/>
      <c r="E475" s="258"/>
      <c r="F475" s="257"/>
      <c r="G475" s="257"/>
      <c r="H475" s="257"/>
      <c r="I475" s="257"/>
      <c r="J475" s="256"/>
    </row>
    <row r="476" spans="1:10" x14ac:dyDescent="0.25">
      <c r="A476" s="257"/>
      <c r="B476" s="257"/>
      <c r="C476" s="257"/>
      <c r="D476" s="257"/>
      <c r="E476" s="258"/>
      <c r="F476" s="257"/>
      <c r="G476" s="257"/>
      <c r="H476" s="257"/>
      <c r="I476" s="257"/>
      <c r="J476" s="256"/>
    </row>
    <row r="477" spans="1:10" x14ac:dyDescent="0.25">
      <c r="A477" s="259"/>
      <c r="B477" s="259"/>
      <c r="C477" s="259"/>
      <c r="D477" s="259"/>
      <c r="E477" s="259"/>
      <c r="F477" s="259"/>
      <c r="G477" s="259"/>
      <c r="H477" s="259"/>
      <c r="I477" s="259"/>
      <c r="J477" s="259"/>
    </row>
    <row r="478" spans="1:10" x14ac:dyDescent="0.25">
      <c r="A478" s="259"/>
      <c r="B478" s="259"/>
      <c r="C478" s="259"/>
      <c r="D478" s="259"/>
      <c r="E478" s="259"/>
      <c r="F478" s="259"/>
      <c r="G478" s="259"/>
      <c r="H478" s="259"/>
      <c r="I478" s="259"/>
      <c r="J478" s="259"/>
    </row>
    <row r="479" spans="1:10" x14ac:dyDescent="0.25">
      <c r="A479" s="259"/>
      <c r="B479" s="259"/>
      <c r="C479" s="259"/>
      <c r="D479" s="259"/>
      <c r="E479" s="259"/>
      <c r="F479" s="259"/>
      <c r="G479" s="259"/>
      <c r="H479" s="259"/>
      <c r="I479" s="259"/>
      <c r="J479" s="259"/>
    </row>
    <row r="480" spans="1:10" x14ac:dyDescent="0.25">
      <c r="A480" s="259"/>
      <c r="B480" s="259"/>
      <c r="C480" s="259"/>
      <c r="D480" s="259"/>
      <c r="E480" s="259"/>
      <c r="F480" s="259"/>
      <c r="G480" s="259"/>
      <c r="H480" s="259"/>
      <c r="I480" s="259"/>
      <c r="J480" s="259"/>
    </row>
    <row r="481" spans="1:10" x14ac:dyDescent="0.25">
      <c r="A481" s="259"/>
      <c r="B481" s="259"/>
      <c r="C481" s="259"/>
      <c r="D481" s="259"/>
      <c r="E481" s="259"/>
      <c r="F481" s="259"/>
      <c r="G481" s="259"/>
      <c r="H481" s="259"/>
      <c r="I481" s="259"/>
      <c r="J481" s="259"/>
    </row>
    <row r="482" spans="1:10" s="262" customFormat="1" x14ac:dyDescent="0.25">
      <c r="A482" s="260"/>
      <c r="B482" s="261"/>
      <c r="C482" s="261"/>
      <c r="D482" s="261"/>
      <c r="E482" s="261"/>
      <c r="F482" s="261"/>
      <c r="G482" s="261"/>
      <c r="H482" s="261"/>
      <c r="I482" s="261"/>
      <c r="J482" s="261"/>
    </row>
    <row r="483" spans="1:10" x14ac:dyDescent="0.25">
      <c r="A483" s="259"/>
      <c r="B483" s="259"/>
      <c r="C483" s="259"/>
      <c r="D483" s="259"/>
      <c r="E483" s="259"/>
      <c r="F483" s="259"/>
      <c r="G483" s="259"/>
      <c r="H483" s="259"/>
      <c r="I483" s="259"/>
      <c r="J483" s="259"/>
    </row>
    <row r="484" spans="1:10" s="262" customFormat="1" x14ac:dyDescent="0.25">
      <c r="A484" s="1321"/>
      <c r="B484" s="1321"/>
      <c r="C484" s="1321"/>
      <c r="D484" s="261"/>
      <c r="E484" s="261"/>
      <c r="F484" s="261"/>
      <c r="G484" s="261"/>
      <c r="H484" s="261"/>
      <c r="I484" s="261"/>
      <c r="J484" s="261"/>
    </row>
    <row r="485" spans="1:10" x14ac:dyDescent="0.25">
      <c r="A485" s="1322"/>
      <c r="B485" s="1322"/>
      <c r="C485" s="263"/>
      <c r="D485" s="264"/>
      <c r="E485" s="265"/>
      <c r="F485" s="266"/>
      <c r="G485" s="266"/>
      <c r="H485" s="255"/>
      <c r="I485" s="255"/>
      <c r="J485" s="267"/>
    </row>
    <row r="486" spans="1:10" x14ac:dyDescent="0.25">
      <c r="A486" s="1322"/>
      <c r="B486" s="1322"/>
      <c r="C486" s="263"/>
      <c r="D486" s="264"/>
      <c r="E486" s="265"/>
      <c r="F486" s="266"/>
      <c r="G486" s="266"/>
      <c r="H486" s="255"/>
      <c r="I486" s="255"/>
      <c r="J486" s="267"/>
    </row>
    <row r="487" spans="1:10" x14ac:dyDescent="0.25">
      <c r="A487" s="1322"/>
      <c r="B487" s="1322"/>
      <c r="C487" s="263"/>
      <c r="D487" s="264"/>
      <c r="E487" s="268"/>
      <c r="F487" s="1323"/>
      <c r="G487" s="1323"/>
      <c r="H487" s="1323"/>
      <c r="I487" s="1323"/>
      <c r="J487" s="267"/>
    </row>
    <row r="488" spans="1:10" x14ac:dyDescent="0.25">
      <c r="A488" s="254"/>
      <c r="B488" s="254"/>
      <c r="C488" s="263"/>
      <c r="D488" s="264"/>
      <c r="E488" s="269"/>
      <c r="F488" s="266"/>
      <c r="G488" s="266"/>
      <c r="H488" s="255"/>
      <c r="I488" s="255"/>
      <c r="J488" s="267"/>
    </row>
    <row r="489" spans="1:10" x14ac:dyDescent="0.25">
      <c r="A489" s="254"/>
      <c r="B489" s="254"/>
      <c r="C489" s="263"/>
      <c r="D489" s="264"/>
      <c r="E489" s="269"/>
      <c r="F489" s="266"/>
      <c r="G489" s="266"/>
      <c r="H489" s="255"/>
      <c r="I489" s="255"/>
      <c r="J489" s="267"/>
    </row>
    <row r="490" spans="1:10" x14ac:dyDescent="0.25">
      <c r="A490" s="254"/>
      <c r="B490" s="254"/>
      <c r="C490" s="263"/>
      <c r="D490" s="264"/>
      <c r="E490" s="269"/>
      <c r="F490" s="266"/>
      <c r="G490" s="266"/>
      <c r="H490" s="255"/>
      <c r="I490" s="255"/>
      <c r="J490" s="267"/>
    </row>
    <row r="491" spans="1:10" x14ac:dyDescent="0.25">
      <c r="A491" s="254"/>
      <c r="B491" s="254"/>
      <c r="C491" s="263"/>
      <c r="D491" s="264"/>
      <c r="E491" s="268"/>
      <c r="F491" s="1323"/>
      <c r="G491" s="1323"/>
      <c r="H491" s="1323"/>
      <c r="I491" s="1323"/>
      <c r="J491" s="267"/>
    </row>
    <row r="492" spans="1:10" x14ac:dyDescent="0.25">
      <c r="A492" s="254"/>
      <c r="B492" s="254"/>
      <c r="C492" s="263"/>
      <c r="D492" s="264"/>
      <c r="E492" s="269"/>
      <c r="F492" s="266"/>
      <c r="G492" s="266"/>
      <c r="H492" s="255"/>
      <c r="I492" s="255"/>
      <c r="J492" s="267"/>
    </row>
    <row r="493" spans="1:10" x14ac:dyDescent="0.25">
      <c r="A493" s="254"/>
      <c r="B493" s="254"/>
      <c r="C493" s="263"/>
      <c r="D493" s="264"/>
      <c r="E493" s="269"/>
      <c r="F493" s="266"/>
      <c r="G493" s="266"/>
      <c r="H493" s="255"/>
      <c r="I493" s="255"/>
      <c r="J493" s="267"/>
    </row>
    <row r="494" spans="1:10" x14ac:dyDescent="0.25">
      <c r="A494" s="254"/>
      <c r="B494" s="254"/>
      <c r="C494" s="263"/>
      <c r="D494" s="264"/>
      <c r="E494" s="269"/>
      <c r="F494" s="266"/>
      <c r="G494" s="266"/>
      <c r="H494" s="255"/>
      <c r="I494" s="255"/>
      <c r="J494" s="267"/>
    </row>
    <row r="495" spans="1:10" x14ac:dyDescent="0.25">
      <c r="A495" s="254"/>
      <c r="B495" s="254"/>
      <c r="C495" s="263"/>
      <c r="D495" s="264"/>
      <c r="E495" s="268"/>
      <c r="F495" s="266"/>
      <c r="G495" s="266"/>
      <c r="H495" s="255"/>
      <c r="I495" s="255"/>
      <c r="J495" s="267"/>
    </row>
    <row r="496" spans="1:10" x14ac:dyDescent="0.25">
      <c r="A496" s="254"/>
      <c r="B496" s="254"/>
      <c r="C496" s="263"/>
      <c r="D496" s="264"/>
      <c r="E496" s="268"/>
      <c r="F496" s="266"/>
      <c r="G496" s="266"/>
      <c r="H496" s="255"/>
      <c r="I496" s="255"/>
      <c r="J496" s="267"/>
    </row>
    <row r="497" spans="1:10" x14ac:dyDescent="0.25">
      <c r="A497" s="259"/>
      <c r="B497" s="259"/>
      <c r="C497" s="259"/>
      <c r="D497" s="259"/>
      <c r="E497" s="259"/>
      <c r="F497" s="259"/>
      <c r="G497" s="259"/>
      <c r="H497" s="259"/>
      <c r="I497" s="259"/>
      <c r="J497" s="259"/>
    </row>
    <row r="498" spans="1:10" x14ac:dyDescent="0.25">
      <c r="A498" s="259"/>
      <c r="B498" s="259"/>
      <c r="C498" s="259"/>
      <c r="D498" s="259"/>
      <c r="E498" s="259"/>
      <c r="F498" s="259"/>
      <c r="G498" s="259"/>
      <c r="H498" s="259"/>
      <c r="I498" s="259"/>
      <c r="J498" s="259"/>
    </row>
    <row r="499" spans="1:10" x14ac:dyDescent="0.25">
      <c r="A499" s="259"/>
      <c r="B499" s="259"/>
      <c r="C499" s="259"/>
      <c r="D499" s="259"/>
      <c r="E499" s="259"/>
      <c r="F499" s="259"/>
      <c r="G499" s="259"/>
      <c r="H499" s="259"/>
      <c r="I499" s="259"/>
      <c r="J499" s="259"/>
    </row>
    <row r="500" spans="1:10" x14ac:dyDescent="0.25">
      <c r="A500" s="259"/>
      <c r="B500" s="259"/>
      <c r="C500" s="259"/>
      <c r="D500" s="259"/>
      <c r="E500" s="259"/>
      <c r="F500" s="259"/>
      <c r="G500" s="259"/>
      <c r="H500" s="259"/>
      <c r="I500" s="259"/>
      <c r="J500" s="259"/>
    </row>
    <row r="501" spans="1:10" x14ac:dyDescent="0.25">
      <c r="A501" s="259"/>
      <c r="B501" s="259"/>
      <c r="C501" s="259"/>
      <c r="D501" s="259"/>
      <c r="E501" s="259"/>
      <c r="F501" s="259"/>
      <c r="G501" s="259"/>
      <c r="H501" s="259"/>
      <c r="I501" s="259"/>
      <c r="J501" s="259"/>
    </row>
    <row r="502" spans="1:10" x14ac:dyDescent="0.25">
      <c r="A502" s="259"/>
      <c r="B502" s="259"/>
      <c r="C502" s="259"/>
      <c r="D502" s="259"/>
      <c r="E502" s="259"/>
      <c r="F502" s="259"/>
      <c r="G502" s="259"/>
      <c r="H502" s="259"/>
      <c r="I502" s="259"/>
      <c r="J502" s="259"/>
    </row>
    <row r="503" spans="1:10" x14ac:dyDescent="0.25">
      <c r="A503" s="259"/>
      <c r="B503" s="259"/>
      <c r="C503" s="259"/>
      <c r="D503" s="259"/>
      <c r="E503" s="259"/>
      <c r="F503" s="259"/>
      <c r="G503" s="259"/>
      <c r="H503" s="259"/>
      <c r="I503" s="259"/>
      <c r="J503" s="259"/>
    </row>
    <row r="504" spans="1:10" x14ac:dyDescent="0.25">
      <c r="A504" s="259"/>
      <c r="B504" s="259"/>
      <c r="C504" s="259"/>
      <c r="D504" s="259"/>
      <c r="E504" s="259"/>
      <c r="F504" s="259"/>
      <c r="G504" s="259"/>
      <c r="H504" s="259"/>
      <c r="I504" s="259"/>
      <c r="J504" s="259"/>
    </row>
    <row r="505" spans="1:10" x14ac:dyDescent="0.25">
      <c r="A505" s="259"/>
      <c r="B505" s="259"/>
      <c r="C505" s="259"/>
      <c r="D505" s="259"/>
      <c r="E505" s="259"/>
      <c r="F505" s="259"/>
      <c r="G505" s="259"/>
      <c r="H505" s="259"/>
      <c r="I505" s="259"/>
      <c r="J505" s="259"/>
    </row>
    <row r="506" spans="1:10" x14ac:dyDescent="0.25">
      <c r="A506" s="259"/>
      <c r="B506" s="259"/>
      <c r="C506" s="259"/>
      <c r="D506" s="259"/>
      <c r="E506" s="259"/>
      <c r="F506" s="259"/>
      <c r="G506" s="259"/>
      <c r="H506" s="259"/>
      <c r="I506" s="259"/>
      <c r="J506" s="259"/>
    </row>
    <row r="507" spans="1:10" x14ac:dyDescent="0.25">
      <c r="A507" s="259"/>
      <c r="B507" s="259"/>
      <c r="C507" s="259"/>
      <c r="D507" s="259"/>
      <c r="E507" s="259"/>
      <c r="F507" s="259"/>
      <c r="G507" s="259"/>
      <c r="H507" s="259"/>
      <c r="I507" s="259"/>
      <c r="J507" s="259"/>
    </row>
    <row r="508" spans="1:10" x14ac:dyDescent="0.25">
      <c r="A508" s="259"/>
      <c r="B508" s="259"/>
      <c r="C508" s="259"/>
      <c r="D508" s="259"/>
      <c r="E508" s="259"/>
      <c r="F508" s="259"/>
      <c r="G508" s="259"/>
      <c r="H508" s="259"/>
      <c r="I508" s="259"/>
      <c r="J508" s="259"/>
    </row>
    <row r="509" spans="1:10" x14ac:dyDescent="0.25">
      <c r="A509" s="259"/>
      <c r="B509" s="259"/>
      <c r="C509" s="259"/>
      <c r="D509" s="259"/>
      <c r="E509" s="259"/>
      <c r="F509" s="259"/>
      <c r="G509" s="259"/>
      <c r="H509" s="259"/>
      <c r="I509" s="259"/>
      <c r="J509" s="259"/>
    </row>
    <row r="510" spans="1:10" x14ac:dyDescent="0.25">
      <c r="A510" s="259"/>
      <c r="B510" s="259"/>
      <c r="C510" s="259"/>
      <c r="D510" s="259"/>
      <c r="E510" s="259"/>
      <c r="F510" s="259"/>
      <c r="G510" s="259"/>
      <c r="H510" s="259"/>
      <c r="I510" s="259"/>
      <c r="J510" s="259"/>
    </row>
    <row r="511" spans="1:10" x14ac:dyDescent="0.25">
      <c r="A511" s="259"/>
      <c r="B511" s="259"/>
      <c r="C511" s="259"/>
      <c r="D511" s="259"/>
      <c r="E511" s="259"/>
      <c r="F511" s="259"/>
      <c r="G511" s="259"/>
      <c r="H511" s="259"/>
      <c r="I511" s="259"/>
      <c r="J511" s="259"/>
    </row>
    <row r="512" spans="1:10" x14ac:dyDescent="0.25">
      <c r="A512" s="259"/>
      <c r="B512" s="259"/>
      <c r="C512" s="259"/>
      <c r="D512" s="259"/>
      <c r="E512" s="259"/>
      <c r="F512" s="259"/>
      <c r="G512" s="259"/>
      <c r="H512" s="259"/>
      <c r="I512" s="259"/>
      <c r="J512" s="259"/>
    </row>
    <row r="513" spans="1:10" x14ac:dyDescent="0.25">
      <c r="A513" s="259"/>
      <c r="B513" s="259"/>
      <c r="C513" s="259"/>
      <c r="D513" s="259"/>
      <c r="E513" s="259"/>
      <c r="F513" s="259"/>
      <c r="G513" s="259"/>
      <c r="H513" s="259"/>
      <c r="I513" s="259"/>
      <c r="J513" s="259"/>
    </row>
    <row r="514" spans="1:10" x14ac:dyDescent="0.25">
      <c r="A514" s="259"/>
      <c r="B514" s="259"/>
      <c r="C514" s="259"/>
      <c r="D514" s="259"/>
      <c r="E514" s="259"/>
      <c r="F514" s="259"/>
      <c r="G514" s="259"/>
      <c r="H514" s="259"/>
      <c r="I514" s="259"/>
      <c r="J514" s="259"/>
    </row>
    <row r="515" spans="1:10" x14ac:dyDescent="0.25">
      <c r="A515" s="259"/>
      <c r="B515" s="259"/>
      <c r="C515" s="259"/>
      <c r="D515" s="259"/>
      <c r="E515" s="259"/>
      <c r="F515" s="259"/>
      <c r="G515" s="259"/>
      <c r="H515" s="259"/>
      <c r="I515" s="259"/>
      <c r="J515" s="259"/>
    </row>
    <row r="516" spans="1:10" x14ac:dyDescent="0.25">
      <c r="A516" s="259"/>
      <c r="B516" s="259"/>
      <c r="C516" s="259"/>
      <c r="D516" s="259"/>
      <c r="E516" s="259"/>
      <c r="F516" s="259"/>
      <c r="G516" s="259"/>
      <c r="H516" s="259"/>
      <c r="I516" s="259"/>
      <c r="J516" s="259"/>
    </row>
    <row r="517" spans="1:10" x14ac:dyDescent="0.25">
      <c r="A517" s="259"/>
      <c r="B517" s="259"/>
      <c r="C517" s="259"/>
      <c r="D517" s="259"/>
      <c r="E517" s="259"/>
      <c r="F517" s="259"/>
      <c r="G517" s="259"/>
      <c r="H517" s="259"/>
      <c r="I517" s="259"/>
      <c r="J517" s="259"/>
    </row>
  </sheetData>
  <mergeCells count="118">
    <mergeCell ref="H470:H471"/>
    <mergeCell ref="A484:C484"/>
    <mergeCell ref="A485:B487"/>
    <mergeCell ref="F487:I487"/>
    <mergeCell ref="F491:I491"/>
    <mergeCell ref="H411:H412"/>
    <mergeCell ref="F415:G415"/>
    <mergeCell ref="F419:G419"/>
    <mergeCell ref="B446:J446"/>
    <mergeCell ref="C467:C468"/>
    <mergeCell ref="D467:D468"/>
    <mergeCell ref="C378:C380"/>
    <mergeCell ref="D378:D379"/>
    <mergeCell ref="H386:H387"/>
    <mergeCell ref="D394:D398"/>
    <mergeCell ref="D402:D403"/>
    <mergeCell ref="C409:C410"/>
    <mergeCell ref="D409:D410"/>
    <mergeCell ref="C357:C359"/>
    <mergeCell ref="C374:C376"/>
    <mergeCell ref="D374:D376"/>
    <mergeCell ref="E375:E376"/>
    <mergeCell ref="F375:F376"/>
    <mergeCell ref="G375:G376"/>
    <mergeCell ref="H344:H345"/>
    <mergeCell ref="I344:I345"/>
    <mergeCell ref="H346:H347"/>
    <mergeCell ref="I346:I347"/>
    <mergeCell ref="F330:G330"/>
    <mergeCell ref="H335:H336"/>
    <mergeCell ref="I335:I336"/>
    <mergeCell ref="H338:H339"/>
    <mergeCell ref="I338:I339"/>
    <mergeCell ref="H340:H341"/>
    <mergeCell ref="I340:I341"/>
    <mergeCell ref="F311:G311"/>
    <mergeCell ref="H311:H314"/>
    <mergeCell ref="I311:I314"/>
    <mergeCell ref="H328:H329"/>
    <mergeCell ref="I328:I329"/>
    <mergeCell ref="I242:I244"/>
    <mergeCell ref="H279:H282"/>
    <mergeCell ref="H283:H292"/>
    <mergeCell ref="H342:H343"/>
    <mergeCell ref="I342:I343"/>
    <mergeCell ref="D289:D290"/>
    <mergeCell ref="H306:H307"/>
    <mergeCell ref="I306:I307"/>
    <mergeCell ref="J230:J231"/>
    <mergeCell ref="E232:E233"/>
    <mergeCell ref="F232:F233"/>
    <mergeCell ref="G232:G233"/>
    <mergeCell ref="J232:J233"/>
    <mergeCell ref="J306:J307"/>
    <mergeCell ref="H224:H226"/>
    <mergeCell ref="C227:C229"/>
    <mergeCell ref="D227:D229"/>
    <mergeCell ref="E230:E231"/>
    <mergeCell ref="F230:F231"/>
    <mergeCell ref="G230:G231"/>
    <mergeCell ref="H161:H162"/>
    <mergeCell ref="H163:H167"/>
    <mergeCell ref="H171:H174"/>
    <mergeCell ref="H175:H182"/>
    <mergeCell ref="B188:J188"/>
    <mergeCell ref="H220:H222"/>
    <mergeCell ref="H147:H150"/>
    <mergeCell ref="I147:I150"/>
    <mergeCell ref="J147:J150"/>
    <mergeCell ref="H155:H156"/>
    <mergeCell ref="H159:H160"/>
    <mergeCell ref="I159:I160"/>
    <mergeCell ref="J159:J160"/>
    <mergeCell ref="C138:C140"/>
    <mergeCell ref="D138:D140"/>
    <mergeCell ref="E138:E140"/>
    <mergeCell ref="F138:F140"/>
    <mergeCell ref="G138:G140"/>
    <mergeCell ref="F146:J146"/>
    <mergeCell ref="F118:G118"/>
    <mergeCell ref="F122:G122"/>
    <mergeCell ref="F124:G124"/>
    <mergeCell ref="C133:C134"/>
    <mergeCell ref="D133:D134"/>
    <mergeCell ref="E133:E134"/>
    <mergeCell ref="F133:F134"/>
    <mergeCell ref="G133:G134"/>
    <mergeCell ref="F97:G97"/>
    <mergeCell ref="H97:H101"/>
    <mergeCell ref="I97:I101"/>
    <mergeCell ref="J97:J101"/>
    <mergeCell ref="F110:G110"/>
    <mergeCell ref="F117:G117"/>
    <mergeCell ref="F86:G86"/>
    <mergeCell ref="H86:H89"/>
    <mergeCell ref="I86:I89"/>
    <mergeCell ref="J86:J89"/>
    <mergeCell ref="F90:G90"/>
    <mergeCell ref="F93:G93"/>
    <mergeCell ref="H93:H96"/>
    <mergeCell ref="I93:I96"/>
    <mergeCell ref="J93:J96"/>
    <mergeCell ref="H84:H85"/>
    <mergeCell ref="A7:B7"/>
    <mergeCell ref="B8:J8"/>
    <mergeCell ref="H13:H14"/>
    <mergeCell ref="B75:J75"/>
    <mergeCell ref="H78:H79"/>
    <mergeCell ref="F81:G81"/>
    <mergeCell ref="A1:J1"/>
    <mergeCell ref="A2:J2"/>
    <mergeCell ref="A5:B6"/>
    <mergeCell ref="C5:C6"/>
    <mergeCell ref="D5:D6"/>
    <mergeCell ref="F5:G5"/>
    <mergeCell ref="H5:H6"/>
    <mergeCell ref="I5:I6"/>
    <mergeCell ref="J5:J6"/>
  </mergeCells>
  <hyperlinks>
    <hyperlink ref="H231" r:id="rId1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32" r:id="rId2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33" r:id="rId3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34" r:id="rId4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H235" r:id="rId5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</hyperlinks>
  <pageMargins left="0.7" right="0.7" top="0.75" bottom="0.75" header="0.3" footer="0.3"/>
  <pageSetup orientation="portrait" horizontalDpi="4294967293" verticalDpi="0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W262"/>
  <sheetViews>
    <sheetView view="pageBreakPreview" topLeftCell="E1" zoomScale="80" zoomScaleNormal="80" zoomScaleSheetLayoutView="80" workbookViewId="0">
      <pane ySplit="7" topLeftCell="A8" activePane="bottomLeft" state="frozen"/>
      <selection activeCell="B8" sqref="B8:J8"/>
      <selection pane="bottomLeft" activeCell="B8" sqref="B8:J8"/>
    </sheetView>
  </sheetViews>
  <sheetFormatPr defaultRowHeight="15" x14ac:dyDescent="0.25"/>
  <cols>
    <col min="1" max="1" width="4" style="788" customWidth="1"/>
    <col min="2" max="2" width="4.28515625" style="788" customWidth="1"/>
    <col min="3" max="3" width="4" style="788" customWidth="1"/>
    <col min="4" max="4" width="3.5703125" style="788" customWidth="1"/>
    <col min="5" max="5" width="15.140625" style="1067" customWidth="1"/>
    <col min="6" max="6" width="20.140625" style="419" customWidth="1"/>
    <col min="7" max="7" width="13.28515625" style="1067" customWidth="1"/>
    <col min="8" max="8" width="13.28515625" style="419" customWidth="1"/>
    <col min="9" max="9" width="18.42578125" style="419" customWidth="1"/>
    <col min="10" max="10" width="15.5703125" style="419" customWidth="1"/>
    <col min="11" max="11" width="17.28515625" style="419" customWidth="1"/>
    <col min="12" max="12" width="9.85546875" style="419" customWidth="1"/>
    <col min="13" max="13" width="18" style="419" customWidth="1"/>
    <col min="14" max="14" width="9.42578125" style="419" customWidth="1"/>
    <col min="15" max="15" width="17.28515625" style="419" customWidth="1"/>
    <col min="16" max="16" width="10.85546875" style="419" customWidth="1"/>
    <col min="17" max="17" width="17.28515625" style="419" customWidth="1"/>
    <col min="18" max="18" width="10.28515625" style="419" customWidth="1"/>
    <col min="19" max="19" width="15.7109375" style="419" customWidth="1"/>
    <col min="20" max="20" width="11" style="1067" customWidth="1"/>
    <col min="21" max="256" width="9.140625" style="419"/>
    <col min="257" max="257" width="4" style="419" customWidth="1"/>
    <col min="258" max="258" width="4.28515625" style="419" customWidth="1"/>
    <col min="259" max="259" width="4" style="419" customWidth="1"/>
    <col min="260" max="260" width="3.5703125" style="419" customWidth="1"/>
    <col min="261" max="261" width="15.140625" style="419" customWidth="1"/>
    <col min="262" max="262" width="20.140625" style="419" customWidth="1"/>
    <col min="263" max="264" width="13.28515625" style="419" customWidth="1"/>
    <col min="265" max="265" width="18.42578125" style="419" customWidth="1"/>
    <col min="266" max="266" width="15.5703125" style="419" customWidth="1"/>
    <col min="267" max="267" width="17.28515625" style="419" customWidth="1"/>
    <col min="268" max="268" width="9.85546875" style="419" customWidth="1"/>
    <col min="269" max="269" width="18" style="419" customWidth="1"/>
    <col min="270" max="270" width="9.42578125" style="419" customWidth="1"/>
    <col min="271" max="271" width="20" style="419" customWidth="1"/>
    <col min="272" max="272" width="10" style="419" customWidth="1"/>
    <col min="273" max="273" width="17.42578125" style="419" customWidth="1"/>
    <col min="274" max="274" width="9.42578125" style="419" customWidth="1"/>
    <col min="275" max="275" width="16.7109375" style="419" customWidth="1"/>
    <col min="276" max="276" width="11" style="419" customWidth="1"/>
    <col min="277" max="512" width="9.140625" style="419"/>
    <col min="513" max="513" width="4" style="419" customWidth="1"/>
    <col min="514" max="514" width="4.28515625" style="419" customWidth="1"/>
    <col min="515" max="515" width="4" style="419" customWidth="1"/>
    <col min="516" max="516" width="3.5703125" style="419" customWidth="1"/>
    <col min="517" max="517" width="15.140625" style="419" customWidth="1"/>
    <col min="518" max="518" width="20.140625" style="419" customWidth="1"/>
    <col min="519" max="520" width="13.28515625" style="419" customWidth="1"/>
    <col min="521" max="521" width="18.42578125" style="419" customWidth="1"/>
    <col min="522" max="522" width="15.5703125" style="419" customWidth="1"/>
    <col min="523" max="523" width="17.28515625" style="419" customWidth="1"/>
    <col min="524" max="524" width="9.85546875" style="419" customWidth="1"/>
    <col min="525" max="525" width="18" style="419" customWidth="1"/>
    <col min="526" max="526" width="9.42578125" style="419" customWidth="1"/>
    <col min="527" max="527" width="20" style="419" customWidth="1"/>
    <col min="528" max="528" width="10" style="419" customWidth="1"/>
    <col min="529" max="529" width="17.42578125" style="419" customWidth="1"/>
    <col min="530" max="530" width="9.42578125" style="419" customWidth="1"/>
    <col min="531" max="531" width="16.7109375" style="419" customWidth="1"/>
    <col min="532" max="532" width="11" style="419" customWidth="1"/>
    <col min="533" max="768" width="9.140625" style="419"/>
    <col min="769" max="769" width="4" style="419" customWidth="1"/>
    <col min="770" max="770" width="4.28515625" style="419" customWidth="1"/>
    <col min="771" max="771" width="4" style="419" customWidth="1"/>
    <col min="772" max="772" width="3.5703125" style="419" customWidth="1"/>
    <col min="773" max="773" width="15.140625" style="419" customWidth="1"/>
    <col min="774" max="774" width="20.140625" style="419" customWidth="1"/>
    <col min="775" max="776" width="13.28515625" style="419" customWidth="1"/>
    <col min="777" max="777" width="18.42578125" style="419" customWidth="1"/>
    <col min="778" max="778" width="15.5703125" style="419" customWidth="1"/>
    <col min="779" max="779" width="17.28515625" style="419" customWidth="1"/>
    <col min="780" max="780" width="9.85546875" style="419" customWidth="1"/>
    <col min="781" max="781" width="18" style="419" customWidth="1"/>
    <col min="782" max="782" width="9.42578125" style="419" customWidth="1"/>
    <col min="783" max="783" width="20" style="419" customWidth="1"/>
    <col min="784" max="784" width="10" style="419" customWidth="1"/>
    <col min="785" max="785" width="17.42578125" style="419" customWidth="1"/>
    <col min="786" max="786" width="9.42578125" style="419" customWidth="1"/>
    <col min="787" max="787" width="16.7109375" style="419" customWidth="1"/>
    <col min="788" max="788" width="11" style="419" customWidth="1"/>
    <col min="789" max="1024" width="9.140625" style="419"/>
    <col min="1025" max="1025" width="4" style="419" customWidth="1"/>
    <col min="1026" max="1026" width="4.28515625" style="419" customWidth="1"/>
    <col min="1027" max="1027" width="4" style="419" customWidth="1"/>
    <col min="1028" max="1028" width="3.5703125" style="419" customWidth="1"/>
    <col min="1029" max="1029" width="15.140625" style="419" customWidth="1"/>
    <col min="1030" max="1030" width="20.140625" style="419" customWidth="1"/>
    <col min="1031" max="1032" width="13.28515625" style="419" customWidth="1"/>
    <col min="1033" max="1033" width="18.42578125" style="419" customWidth="1"/>
    <col min="1034" max="1034" width="15.5703125" style="419" customWidth="1"/>
    <col min="1035" max="1035" width="17.28515625" style="419" customWidth="1"/>
    <col min="1036" max="1036" width="9.85546875" style="419" customWidth="1"/>
    <col min="1037" max="1037" width="18" style="419" customWidth="1"/>
    <col min="1038" max="1038" width="9.42578125" style="419" customWidth="1"/>
    <col min="1039" max="1039" width="20" style="419" customWidth="1"/>
    <col min="1040" max="1040" width="10" style="419" customWidth="1"/>
    <col min="1041" max="1041" width="17.42578125" style="419" customWidth="1"/>
    <col min="1042" max="1042" width="9.42578125" style="419" customWidth="1"/>
    <col min="1043" max="1043" width="16.7109375" style="419" customWidth="1"/>
    <col min="1044" max="1044" width="11" style="419" customWidth="1"/>
    <col min="1045" max="1280" width="9.140625" style="419"/>
    <col min="1281" max="1281" width="4" style="419" customWidth="1"/>
    <col min="1282" max="1282" width="4.28515625" style="419" customWidth="1"/>
    <col min="1283" max="1283" width="4" style="419" customWidth="1"/>
    <col min="1284" max="1284" width="3.5703125" style="419" customWidth="1"/>
    <col min="1285" max="1285" width="15.140625" style="419" customWidth="1"/>
    <col min="1286" max="1286" width="20.140625" style="419" customWidth="1"/>
    <col min="1287" max="1288" width="13.28515625" style="419" customWidth="1"/>
    <col min="1289" max="1289" width="18.42578125" style="419" customWidth="1"/>
    <col min="1290" max="1290" width="15.5703125" style="419" customWidth="1"/>
    <col min="1291" max="1291" width="17.28515625" style="419" customWidth="1"/>
    <col min="1292" max="1292" width="9.85546875" style="419" customWidth="1"/>
    <col min="1293" max="1293" width="18" style="419" customWidth="1"/>
    <col min="1294" max="1294" width="9.42578125" style="419" customWidth="1"/>
    <col min="1295" max="1295" width="20" style="419" customWidth="1"/>
    <col min="1296" max="1296" width="10" style="419" customWidth="1"/>
    <col min="1297" max="1297" width="17.42578125" style="419" customWidth="1"/>
    <col min="1298" max="1298" width="9.42578125" style="419" customWidth="1"/>
    <col min="1299" max="1299" width="16.7109375" style="419" customWidth="1"/>
    <col min="1300" max="1300" width="11" style="419" customWidth="1"/>
    <col min="1301" max="1536" width="9.140625" style="419"/>
    <col min="1537" max="1537" width="4" style="419" customWidth="1"/>
    <col min="1538" max="1538" width="4.28515625" style="419" customWidth="1"/>
    <col min="1539" max="1539" width="4" style="419" customWidth="1"/>
    <col min="1540" max="1540" width="3.5703125" style="419" customWidth="1"/>
    <col min="1541" max="1541" width="15.140625" style="419" customWidth="1"/>
    <col min="1542" max="1542" width="20.140625" style="419" customWidth="1"/>
    <col min="1543" max="1544" width="13.28515625" style="419" customWidth="1"/>
    <col min="1545" max="1545" width="18.42578125" style="419" customWidth="1"/>
    <col min="1546" max="1546" width="15.5703125" style="419" customWidth="1"/>
    <col min="1547" max="1547" width="17.28515625" style="419" customWidth="1"/>
    <col min="1548" max="1548" width="9.85546875" style="419" customWidth="1"/>
    <col min="1549" max="1549" width="18" style="419" customWidth="1"/>
    <col min="1550" max="1550" width="9.42578125" style="419" customWidth="1"/>
    <col min="1551" max="1551" width="20" style="419" customWidth="1"/>
    <col min="1552" max="1552" width="10" style="419" customWidth="1"/>
    <col min="1553" max="1553" width="17.42578125" style="419" customWidth="1"/>
    <col min="1554" max="1554" width="9.42578125" style="419" customWidth="1"/>
    <col min="1555" max="1555" width="16.7109375" style="419" customWidth="1"/>
    <col min="1556" max="1556" width="11" style="419" customWidth="1"/>
    <col min="1557" max="1792" width="9.140625" style="419"/>
    <col min="1793" max="1793" width="4" style="419" customWidth="1"/>
    <col min="1794" max="1794" width="4.28515625" style="419" customWidth="1"/>
    <col min="1795" max="1795" width="4" style="419" customWidth="1"/>
    <col min="1796" max="1796" width="3.5703125" style="419" customWidth="1"/>
    <col min="1797" max="1797" width="15.140625" style="419" customWidth="1"/>
    <col min="1798" max="1798" width="20.140625" style="419" customWidth="1"/>
    <col min="1799" max="1800" width="13.28515625" style="419" customWidth="1"/>
    <col min="1801" max="1801" width="18.42578125" style="419" customWidth="1"/>
    <col min="1802" max="1802" width="15.5703125" style="419" customWidth="1"/>
    <col min="1803" max="1803" width="17.28515625" style="419" customWidth="1"/>
    <col min="1804" max="1804" width="9.85546875" style="419" customWidth="1"/>
    <col min="1805" max="1805" width="18" style="419" customWidth="1"/>
    <col min="1806" max="1806" width="9.42578125" style="419" customWidth="1"/>
    <col min="1807" max="1807" width="20" style="419" customWidth="1"/>
    <col min="1808" max="1808" width="10" style="419" customWidth="1"/>
    <col min="1809" max="1809" width="17.42578125" style="419" customWidth="1"/>
    <col min="1810" max="1810" width="9.42578125" style="419" customWidth="1"/>
    <col min="1811" max="1811" width="16.7109375" style="419" customWidth="1"/>
    <col min="1812" max="1812" width="11" style="419" customWidth="1"/>
    <col min="1813" max="2048" width="9.140625" style="419"/>
    <col min="2049" max="2049" width="4" style="419" customWidth="1"/>
    <col min="2050" max="2050" width="4.28515625" style="419" customWidth="1"/>
    <col min="2051" max="2051" width="4" style="419" customWidth="1"/>
    <col min="2052" max="2052" width="3.5703125" style="419" customWidth="1"/>
    <col min="2053" max="2053" width="15.140625" style="419" customWidth="1"/>
    <col min="2054" max="2054" width="20.140625" style="419" customWidth="1"/>
    <col min="2055" max="2056" width="13.28515625" style="419" customWidth="1"/>
    <col min="2057" max="2057" width="18.42578125" style="419" customWidth="1"/>
    <col min="2058" max="2058" width="15.5703125" style="419" customWidth="1"/>
    <col min="2059" max="2059" width="17.28515625" style="419" customWidth="1"/>
    <col min="2060" max="2060" width="9.85546875" style="419" customWidth="1"/>
    <col min="2061" max="2061" width="18" style="419" customWidth="1"/>
    <col min="2062" max="2062" width="9.42578125" style="419" customWidth="1"/>
    <col min="2063" max="2063" width="20" style="419" customWidth="1"/>
    <col min="2064" max="2064" width="10" style="419" customWidth="1"/>
    <col min="2065" max="2065" width="17.42578125" style="419" customWidth="1"/>
    <col min="2066" max="2066" width="9.42578125" style="419" customWidth="1"/>
    <col min="2067" max="2067" width="16.7109375" style="419" customWidth="1"/>
    <col min="2068" max="2068" width="11" style="419" customWidth="1"/>
    <col min="2069" max="2304" width="9.140625" style="419"/>
    <col min="2305" max="2305" width="4" style="419" customWidth="1"/>
    <col min="2306" max="2306" width="4.28515625" style="419" customWidth="1"/>
    <col min="2307" max="2307" width="4" style="419" customWidth="1"/>
    <col min="2308" max="2308" width="3.5703125" style="419" customWidth="1"/>
    <col min="2309" max="2309" width="15.140625" style="419" customWidth="1"/>
    <col min="2310" max="2310" width="20.140625" style="419" customWidth="1"/>
    <col min="2311" max="2312" width="13.28515625" style="419" customWidth="1"/>
    <col min="2313" max="2313" width="18.42578125" style="419" customWidth="1"/>
    <col min="2314" max="2314" width="15.5703125" style="419" customWidth="1"/>
    <col min="2315" max="2315" width="17.28515625" style="419" customWidth="1"/>
    <col min="2316" max="2316" width="9.85546875" style="419" customWidth="1"/>
    <col min="2317" max="2317" width="18" style="419" customWidth="1"/>
    <col min="2318" max="2318" width="9.42578125" style="419" customWidth="1"/>
    <col min="2319" max="2319" width="20" style="419" customWidth="1"/>
    <col min="2320" max="2320" width="10" style="419" customWidth="1"/>
    <col min="2321" max="2321" width="17.42578125" style="419" customWidth="1"/>
    <col min="2322" max="2322" width="9.42578125" style="419" customWidth="1"/>
    <col min="2323" max="2323" width="16.7109375" style="419" customWidth="1"/>
    <col min="2324" max="2324" width="11" style="419" customWidth="1"/>
    <col min="2325" max="2560" width="9.140625" style="419"/>
    <col min="2561" max="2561" width="4" style="419" customWidth="1"/>
    <col min="2562" max="2562" width="4.28515625" style="419" customWidth="1"/>
    <col min="2563" max="2563" width="4" style="419" customWidth="1"/>
    <col min="2564" max="2564" width="3.5703125" style="419" customWidth="1"/>
    <col min="2565" max="2565" width="15.140625" style="419" customWidth="1"/>
    <col min="2566" max="2566" width="20.140625" style="419" customWidth="1"/>
    <col min="2567" max="2568" width="13.28515625" style="419" customWidth="1"/>
    <col min="2569" max="2569" width="18.42578125" style="419" customWidth="1"/>
    <col min="2570" max="2570" width="15.5703125" style="419" customWidth="1"/>
    <col min="2571" max="2571" width="17.28515625" style="419" customWidth="1"/>
    <col min="2572" max="2572" width="9.85546875" style="419" customWidth="1"/>
    <col min="2573" max="2573" width="18" style="419" customWidth="1"/>
    <col min="2574" max="2574" width="9.42578125" style="419" customWidth="1"/>
    <col min="2575" max="2575" width="20" style="419" customWidth="1"/>
    <col min="2576" max="2576" width="10" style="419" customWidth="1"/>
    <col min="2577" max="2577" width="17.42578125" style="419" customWidth="1"/>
    <col min="2578" max="2578" width="9.42578125" style="419" customWidth="1"/>
    <col min="2579" max="2579" width="16.7109375" style="419" customWidth="1"/>
    <col min="2580" max="2580" width="11" style="419" customWidth="1"/>
    <col min="2581" max="2816" width="9.140625" style="419"/>
    <col min="2817" max="2817" width="4" style="419" customWidth="1"/>
    <col min="2818" max="2818" width="4.28515625" style="419" customWidth="1"/>
    <col min="2819" max="2819" width="4" style="419" customWidth="1"/>
    <col min="2820" max="2820" width="3.5703125" style="419" customWidth="1"/>
    <col min="2821" max="2821" width="15.140625" style="419" customWidth="1"/>
    <col min="2822" max="2822" width="20.140625" style="419" customWidth="1"/>
    <col min="2823" max="2824" width="13.28515625" style="419" customWidth="1"/>
    <col min="2825" max="2825" width="18.42578125" style="419" customWidth="1"/>
    <col min="2826" max="2826" width="15.5703125" style="419" customWidth="1"/>
    <col min="2827" max="2827" width="17.28515625" style="419" customWidth="1"/>
    <col min="2828" max="2828" width="9.85546875" style="419" customWidth="1"/>
    <col min="2829" max="2829" width="18" style="419" customWidth="1"/>
    <col min="2830" max="2830" width="9.42578125" style="419" customWidth="1"/>
    <col min="2831" max="2831" width="20" style="419" customWidth="1"/>
    <col min="2832" max="2832" width="10" style="419" customWidth="1"/>
    <col min="2833" max="2833" width="17.42578125" style="419" customWidth="1"/>
    <col min="2834" max="2834" width="9.42578125" style="419" customWidth="1"/>
    <col min="2835" max="2835" width="16.7109375" style="419" customWidth="1"/>
    <col min="2836" max="2836" width="11" style="419" customWidth="1"/>
    <col min="2837" max="3072" width="9.140625" style="419"/>
    <col min="3073" max="3073" width="4" style="419" customWidth="1"/>
    <col min="3074" max="3074" width="4.28515625" style="419" customWidth="1"/>
    <col min="3075" max="3075" width="4" style="419" customWidth="1"/>
    <col min="3076" max="3076" width="3.5703125" style="419" customWidth="1"/>
    <col min="3077" max="3077" width="15.140625" style="419" customWidth="1"/>
    <col min="3078" max="3078" width="20.140625" style="419" customWidth="1"/>
    <col min="3079" max="3080" width="13.28515625" style="419" customWidth="1"/>
    <col min="3081" max="3081" width="18.42578125" style="419" customWidth="1"/>
    <col min="3082" max="3082" width="15.5703125" style="419" customWidth="1"/>
    <col min="3083" max="3083" width="17.28515625" style="419" customWidth="1"/>
    <col min="3084" max="3084" width="9.85546875" style="419" customWidth="1"/>
    <col min="3085" max="3085" width="18" style="419" customWidth="1"/>
    <col min="3086" max="3086" width="9.42578125" style="419" customWidth="1"/>
    <col min="3087" max="3087" width="20" style="419" customWidth="1"/>
    <col min="3088" max="3088" width="10" style="419" customWidth="1"/>
    <col min="3089" max="3089" width="17.42578125" style="419" customWidth="1"/>
    <col min="3090" max="3090" width="9.42578125" style="419" customWidth="1"/>
    <col min="3091" max="3091" width="16.7109375" style="419" customWidth="1"/>
    <col min="3092" max="3092" width="11" style="419" customWidth="1"/>
    <col min="3093" max="3328" width="9.140625" style="419"/>
    <col min="3329" max="3329" width="4" style="419" customWidth="1"/>
    <col min="3330" max="3330" width="4.28515625" style="419" customWidth="1"/>
    <col min="3331" max="3331" width="4" style="419" customWidth="1"/>
    <col min="3332" max="3332" width="3.5703125" style="419" customWidth="1"/>
    <col min="3333" max="3333" width="15.140625" style="419" customWidth="1"/>
    <col min="3334" max="3334" width="20.140625" style="419" customWidth="1"/>
    <col min="3335" max="3336" width="13.28515625" style="419" customWidth="1"/>
    <col min="3337" max="3337" width="18.42578125" style="419" customWidth="1"/>
    <col min="3338" max="3338" width="15.5703125" style="419" customWidth="1"/>
    <col min="3339" max="3339" width="17.28515625" style="419" customWidth="1"/>
    <col min="3340" max="3340" width="9.85546875" style="419" customWidth="1"/>
    <col min="3341" max="3341" width="18" style="419" customWidth="1"/>
    <col min="3342" max="3342" width="9.42578125" style="419" customWidth="1"/>
    <col min="3343" max="3343" width="20" style="419" customWidth="1"/>
    <col min="3344" max="3344" width="10" style="419" customWidth="1"/>
    <col min="3345" max="3345" width="17.42578125" style="419" customWidth="1"/>
    <col min="3346" max="3346" width="9.42578125" style="419" customWidth="1"/>
    <col min="3347" max="3347" width="16.7109375" style="419" customWidth="1"/>
    <col min="3348" max="3348" width="11" style="419" customWidth="1"/>
    <col min="3349" max="3584" width="9.140625" style="419"/>
    <col min="3585" max="3585" width="4" style="419" customWidth="1"/>
    <col min="3586" max="3586" width="4.28515625" style="419" customWidth="1"/>
    <col min="3587" max="3587" width="4" style="419" customWidth="1"/>
    <col min="3588" max="3588" width="3.5703125" style="419" customWidth="1"/>
    <col min="3589" max="3589" width="15.140625" style="419" customWidth="1"/>
    <col min="3590" max="3590" width="20.140625" style="419" customWidth="1"/>
    <col min="3591" max="3592" width="13.28515625" style="419" customWidth="1"/>
    <col min="3593" max="3593" width="18.42578125" style="419" customWidth="1"/>
    <col min="3594" max="3594" width="15.5703125" style="419" customWidth="1"/>
    <col min="3595" max="3595" width="17.28515625" style="419" customWidth="1"/>
    <col min="3596" max="3596" width="9.85546875" style="419" customWidth="1"/>
    <col min="3597" max="3597" width="18" style="419" customWidth="1"/>
    <col min="3598" max="3598" width="9.42578125" style="419" customWidth="1"/>
    <col min="3599" max="3599" width="20" style="419" customWidth="1"/>
    <col min="3600" max="3600" width="10" style="419" customWidth="1"/>
    <col min="3601" max="3601" width="17.42578125" style="419" customWidth="1"/>
    <col min="3602" max="3602" width="9.42578125" style="419" customWidth="1"/>
    <col min="3603" max="3603" width="16.7109375" style="419" customWidth="1"/>
    <col min="3604" max="3604" width="11" style="419" customWidth="1"/>
    <col min="3605" max="3840" width="9.140625" style="419"/>
    <col min="3841" max="3841" width="4" style="419" customWidth="1"/>
    <col min="3842" max="3842" width="4.28515625" style="419" customWidth="1"/>
    <col min="3843" max="3843" width="4" style="419" customWidth="1"/>
    <col min="3844" max="3844" width="3.5703125" style="419" customWidth="1"/>
    <col min="3845" max="3845" width="15.140625" style="419" customWidth="1"/>
    <col min="3846" max="3846" width="20.140625" style="419" customWidth="1"/>
    <col min="3847" max="3848" width="13.28515625" style="419" customWidth="1"/>
    <col min="3849" max="3849" width="18.42578125" style="419" customWidth="1"/>
    <col min="3850" max="3850" width="15.5703125" style="419" customWidth="1"/>
    <col min="3851" max="3851" width="17.28515625" style="419" customWidth="1"/>
    <col min="3852" max="3852" width="9.85546875" style="419" customWidth="1"/>
    <col min="3853" max="3853" width="18" style="419" customWidth="1"/>
    <col min="3854" max="3854" width="9.42578125" style="419" customWidth="1"/>
    <col min="3855" max="3855" width="20" style="419" customWidth="1"/>
    <col min="3856" max="3856" width="10" style="419" customWidth="1"/>
    <col min="3857" max="3857" width="17.42578125" style="419" customWidth="1"/>
    <col min="3858" max="3858" width="9.42578125" style="419" customWidth="1"/>
    <col min="3859" max="3859" width="16.7109375" style="419" customWidth="1"/>
    <col min="3860" max="3860" width="11" style="419" customWidth="1"/>
    <col min="3861" max="4096" width="9.140625" style="419"/>
    <col min="4097" max="4097" width="4" style="419" customWidth="1"/>
    <col min="4098" max="4098" width="4.28515625" style="419" customWidth="1"/>
    <col min="4099" max="4099" width="4" style="419" customWidth="1"/>
    <col min="4100" max="4100" width="3.5703125" style="419" customWidth="1"/>
    <col min="4101" max="4101" width="15.140625" style="419" customWidth="1"/>
    <col min="4102" max="4102" width="20.140625" style="419" customWidth="1"/>
    <col min="4103" max="4104" width="13.28515625" style="419" customWidth="1"/>
    <col min="4105" max="4105" width="18.42578125" style="419" customWidth="1"/>
    <col min="4106" max="4106" width="15.5703125" style="419" customWidth="1"/>
    <col min="4107" max="4107" width="17.28515625" style="419" customWidth="1"/>
    <col min="4108" max="4108" width="9.85546875" style="419" customWidth="1"/>
    <col min="4109" max="4109" width="18" style="419" customWidth="1"/>
    <col min="4110" max="4110" width="9.42578125" style="419" customWidth="1"/>
    <col min="4111" max="4111" width="20" style="419" customWidth="1"/>
    <col min="4112" max="4112" width="10" style="419" customWidth="1"/>
    <col min="4113" max="4113" width="17.42578125" style="419" customWidth="1"/>
    <col min="4114" max="4114" width="9.42578125" style="419" customWidth="1"/>
    <col min="4115" max="4115" width="16.7109375" style="419" customWidth="1"/>
    <col min="4116" max="4116" width="11" style="419" customWidth="1"/>
    <col min="4117" max="4352" width="9.140625" style="419"/>
    <col min="4353" max="4353" width="4" style="419" customWidth="1"/>
    <col min="4354" max="4354" width="4.28515625" style="419" customWidth="1"/>
    <col min="4355" max="4355" width="4" style="419" customWidth="1"/>
    <col min="4356" max="4356" width="3.5703125" style="419" customWidth="1"/>
    <col min="4357" max="4357" width="15.140625" style="419" customWidth="1"/>
    <col min="4358" max="4358" width="20.140625" style="419" customWidth="1"/>
    <col min="4359" max="4360" width="13.28515625" style="419" customWidth="1"/>
    <col min="4361" max="4361" width="18.42578125" style="419" customWidth="1"/>
    <col min="4362" max="4362" width="15.5703125" style="419" customWidth="1"/>
    <col min="4363" max="4363" width="17.28515625" style="419" customWidth="1"/>
    <col min="4364" max="4364" width="9.85546875" style="419" customWidth="1"/>
    <col min="4365" max="4365" width="18" style="419" customWidth="1"/>
    <col min="4366" max="4366" width="9.42578125" style="419" customWidth="1"/>
    <col min="4367" max="4367" width="20" style="419" customWidth="1"/>
    <col min="4368" max="4368" width="10" style="419" customWidth="1"/>
    <col min="4369" max="4369" width="17.42578125" style="419" customWidth="1"/>
    <col min="4370" max="4370" width="9.42578125" style="419" customWidth="1"/>
    <col min="4371" max="4371" width="16.7109375" style="419" customWidth="1"/>
    <col min="4372" max="4372" width="11" style="419" customWidth="1"/>
    <col min="4373" max="4608" width="9.140625" style="419"/>
    <col min="4609" max="4609" width="4" style="419" customWidth="1"/>
    <col min="4610" max="4610" width="4.28515625" style="419" customWidth="1"/>
    <col min="4611" max="4611" width="4" style="419" customWidth="1"/>
    <col min="4612" max="4612" width="3.5703125" style="419" customWidth="1"/>
    <col min="4613" max="4613" width="15.140625" style="419" customWidth="1"/>
    <col min="4614" max="4614" width="20.140625" style="419" customWidth="1"/>
    <col min="4615" max="4616" width="13.28515625" style="419" customWidth="1"/>
    <col min="4617" max="4617" width="18.42578125" style="419" customWidth="1"/>
    <col min="4618" max="4618" width="15.5703125" style="419" customWidth="1"/>
    <col min="4619" max="4619" width="17.28515625" style="419" customWidth="1"/>
    <col min="4620" max="4620" width="9.85546875" style="419" customWidth="1"/>
    <col min="4621" max="4621" width="18" style="419" customWidth="1"/>
    <col min="4622" max="4622" width="9.42578125" style="419" customWidth="1"/>
    <col min="4623" max="4623" width="20" style="419" customWidth="1"/>
    <col min="4624" max="4624" width="10" style="419" customWidth="1"/>
    <col min="4625" max="4625" width="17.42578125" style="419" customWidth="1"/>
    <col min="4626" max="4626" width="9.42578125" style="419" customWidth="1"/>
    <col min="4627" max="4627" width="16.7109375" style="419" customWidth="1"/>
    <col min="4628" max="4628" width="11" style="419" customWidth="1"/>
    <col min="4629" max="4864" width="9.140625" style="419"/>
    <col min="4865" max="4865" width="4" style="419" customWidth="1"/>
    <col min="4866" max="4866" width="4.28515625" style="419" customWidth="1"/>
    <col min="4867" max="4867" width="4" style="419" customWidth="1"/>
    <col min="4868" max="4868" width="3.5703125" style="419" customWidth="1"/>
    <col min="4869" max="4869" width="15.140625" style="419" customWidth="1"/>
    <col min="4870" max="4870" width="20.140625" style="419" customWidth="1"/>
    <col min="4871" max="4872" width="13.28515625" style="419" customWidth="1"/>
    <col min="4873" max="4873" width="18.42578125" style="419" customWidth="1"/>
    <col min="4874" max="4874" width="15.5703125" style="419" customWidth="1"/>
    <col min="4875" max="4875" width="17.28515625" style="419" customWidth="1"/>
    <col min="4876" max="4876" width="9.85546875" style="419" customWidth="1"/>
    <col min="4877" max="4877" width="18" style="419" customWidth="1"/>
    <col min="4878" max="4878" width="9.42578125" style="419" customWidth="1"/>
    <col min="4879" max="4879" width="20" style="419" customWidth="1"/>
    <col min="4880" max="4880" width="10" style="419" customWidth="1"/>
    <col min="4881" max="4881" width="17.42578125" style="419" customWidth="1"/>
    <col min="4882" max="4882" width="9.42578125" style="419" customWidth="1"/>
    <col min="4883" max="4883" width="16.7109375" style="419" customWidth="1"/>
    <col min="4884" max="4884" width="11" style="419" customWidth="1"/>
    <col min="4885" max="5120" width="9.140625" style="419"/>
    <col min="5121" max="5121" width="4" style="419" customWidth="1"/>
    <col min="5122" max="5122" width="4.28515625" style="419" customWidth="1"/>
    <col min="5123" max="5123" width="4" style="419" customWidth="1"/>
    <col min="5124" max="5124" width="3.5703125" style="419" customWidth="1"/>
    <col min="5125" max="5125" width="15.140625" style="419" customWidth="1"/>
    <col min="5126" max="5126" width="20.140625" style="419" customWidth="1"/>
    <col min="5127" max="5128" width="13.28515625" style="419" customWidth="1"/>
    <col min="5129" max="5129" width="18.42578125" style="419" customWidth="1"/>
    <col min="5130" max="5130" width="15.5703125" style="419" customWidth="1"/>
    <col min="5131" max="5131" width="17.28515625" style="419" customWidth="1"/>
    <col min="5132" max="5132" width="9.85546875" style="419" customWidth="1"/>
    <col min="5133" max="5133" width="18" style="419" customWidth="1"/>
    <col min="5134" max="5134" width="9.42578125" style="419" customWidth="1"/>
    <col min="5135" max="5135" width="20" style="419" customWidth="1"/>
    <col min="5136" max="5136" width="10" style="419" customWidth="1"/>
    <col min="5137" max="5137" width="17.42578125" style="419" customWidth="1"/>
    <col min="5138" max="5138" width="9.42578125" style="419" customWidth="1"/>
    <col min="5139" max="5139" width="16.7109375" style="419" customWidth="1"/>
    <col min="5140" max="5140" width="11" style="419" customWidth="1"/>
    <col min="5141" max="5376" width="9.140625" style="419"/>
    <col min="5377" max="5377" width="4" style="419" customWidth="1"/>
    <col min="5378" max="5378" width="4.28515625" style="419" customWidth="1"/>
    <col min="5379" max="5379" width="4" style="419" customWidth="1"/>
    <col min="5380" max="5380" width="3.5703125" style="419" customWidth="1"/>
    <col min="5381" max="5381" width="15.140625" style="419" customWidth="1"/>
    <col min="5382" max="5382" width="20.140625" style="419" customWidth="1"/>
    <col min="5383" max="5384" width="13.28515625" style="419" customWidth="1"/>
    <col min="5385" max="5385" width="18.42578125" style="419" customWidth="1"/>
    <col min="5386" max="5386" width="15.5703125" style="419" customWidth="1"/>
    <col min="5387" max="5387" width="17.28515625" style="419" customWidth="1"/>
    <col min="5388" max="5388" width="9.85546875" style="419" customWidth="1"/>
    <col min="5389" max="5389" width="18" style="419" customWidth="1"/>
    <col min="5390" max="5390" width="9.42578125" style="419" customWidth="1"/>
    <col min="5391" max="5391" width="20" style="419" customWidth="1"/>
    <col min="5392" max="5392" width="10" style="419" customWidth="1"/>
    <col min="5393" max="5393" width="17.42578125" style="419" customWidth="1"/>
    <col min="5394" max="5394" width="9.42578125" style="419" customWidth="1"/>
    <col min="5395" max="5395" width="16.7109375" style="419" customWidth="1"/>
    <col min="5396" max="5396" width="11" style="419" customWidth="1"/>
    <col min="5397" max="5632" width="9.140625" style="419"/>
    <col min="5633" max="5633" width="4" style="419" customWidth="1"/>
    <col min="5634" max="5634" width="4.28515625" style="419" customWidth="1"/>
    <col min="5635" max="5635" width="4" style="419" customWidth="1"/>
    <col min="5636" max="5636" width="3.5703125" style="419" customWidth="1"/>
    <col min="5637" max="5637" width="15.140625" style="419" customWidth="1"/>
    <col min="5638" max="5638" width="20.140625" style="419" customWidth="1"/>
    <col min="5639" max="5640" width="13.28515625" style="419" customWidth="1"/>
    <col min="5641" max="5641" width="18.42578125" style="419" customWidth="1"/>
    <col min="5642" max="5642" width="15.5703125" style="419" customWidth="1"/>
    <col min="5643" max="5643" width="17.28515625" style="419" customWidth="1"/>
    <col min="5644" max="5644" width="9.85546875" style="419" customWidth="1"/>
    <col min="5645" max="5645" width="18" style="419" customWidth="1"/>
    <col min="5646" max="5646" width="9.42578125" style="419" customWidth="1"/>
    <col min="5647" max="5647" width="20" style="419" customWidth="1"/>
    <col min="5648" max="5648" width="10" style="419" customWidth="1"/>
    <col min="5649" max="5649" width="17.42578125" style="419" customWidth="1"/>
    <col min="5650" max="5650" width="9.42578125" style="419" customWidth="1"/>
    <col min="5651" max="5651" width="16.7109375" style="419" customWidth="1"/>
    <col min="5652" max="5652" width="11" style="419" customWidth="1"/>
    <col min="5653" max="5888" width="9.140625" style="419"/>
    <col min="5889" max="5889" width="4" style="419" customWidth="1"/>
    <col min="5890" max="5890" width="4.28515625" style="419" customWidth="1"/>
    <col min="5891" max="5891" width="4" style="419" customWidth="1"/>
    <col min="5892" max="5892" width="3.5703125" style="419" customWidth="1"/>
    <col min="5893" max="5893" width="15.140625" style="419" customWidth="1"/>
    <col min="5894" max="5894" width="20.140625" style="419" customWidth="1"/>
    <col min="5895" max="5896" width="13.28515625" style="419" customWidth="1"/>
    <col min="5897" max="5897" width="18.42578125" style="419" customWidth="1"/>
    <col min="5898" max="5898" width="15.5703125" style="419" customWidth="1"/>
    <col min="5899" max="5899" width="17.28515625" style="419" customWidth="1"/>
    <col min="5900" max="5900" width="9.85546875" style="419" customWidth="1"/>
    <col min="5901" max="5901" width="18" style="419" customWidth="1"/>
    <col min="5902" max="5902" width="9.42578125" style="419" customWidth="1"/>
    <col min="5903" max="5903" width="20" style="419" customWidth="1"/>
    <col min="5904" max="5904" width="10" style="419" customWidth="1"/>
    <col min="5905" max="5905" width="17.42578125" style="419" customWidth="1"/>
    <col min="5906" max="5906" width="9.42578125" style="419" customWidth="1"/>
    <col min="5907" max="5907" width="16.7109375" style="419" customWidth="1"/>
    <col min="5908" max="5908" width="11" style="419" customWidth="1"/>
    <col min="5909" max="6144" width="9.140625" style="419"/>
    <col min="6145" max="6145" width="4" style="419" customWidth="1"/>
    <col min="6146" max="6146" width="4.28515625" style="419" customWidth="1"/>
    <col min="6147" max="6147" width="4" style="419" customWidth="1"/>
    <col min="6148" max="6148" width="3.5703125" style="419" customWidth="1"/>
    <col min="6149" max="6149" width="15.140625" style="419" customWidth="1"/>
    <col min="6150" max="6150" width="20.140625" style="419" customWidth="1"/>
    <col min="6151" max="6152" width="13.28515625" style="419" customWidth="1"/>
    <col min="6153" max="6153" width="18.42578125" style="419" customWidth="1"/>
    <col min="6154" max="6154" width="15.5703125" style="419" customWidth="1"/>
    <col min="6155" max="6155" width="17.28515625" style="419" customWidth="1"/>
    <col min="6156" max="6156" width="9.85546875" style="419" customWidth="1"/>
    <col min="6157" max="6157" width="18" style="419" customWidth="1"/>
    <col min="6158" max="6158" width="9.42578125" style="419" customWidth="1"/>
    <col min="6159" max="6159" width="20" style="419" customWidth="1"/>
    <col min="6160" max="6160" width="10" style="419" customWidth="1"/>
    <col min="6161" max="6161" width="17.42578125" style="419" customWidth="1"/>
    <col min="6162" max="6162" width="9.42578125" style="419" customWidth="1"/>
    <col min="6163" max="6163" width="16.7109375" style="419" customWidth="1"/>
    <col min="6164" max="6164" width="11" style="419" customWidth="1"/>
    <col min="6165" max="6400" width="9.140625" style="419"/>
    <col min="6401" max="6401" width="4" style="419" customWidth="1"/>
    <col min="6402" max="6402" width="4.28515625" style="419" customWidth="1"/>
    <col min="6403" max="6403" width="4" style="419" customWidth="1"/>
    <col min="6404" max="6404" width="3.5703125" style="419" customWidth="1"/>
    <col min="6405" max="6405" width="15.140625" style="419" customWidth="1"/>
    <col min="6406" max="6406" width="20.140625" style="419" customWidth="1"/>
    <col min="6407" max="6408" width="13.28515625" style="419" customWidth="1"/>
    <col min="6409" max="6409" width="18.42578125" style="419" customWidth="1"/>
    <col min="6410" max="6410" width="15.5703125" style="419" customWidth="1"/>
    <col min="6411" max="6411" width="17.28515625" style="419" customWidth="1"/>
    <col min="6412" max="6412" width="9.85546875" style="419" customWidth="1"/>
    <col min="6413" max="6413" width="18" style="419" customWidth="1"/>
    <col min="6414" max="6414" width="9.42578125" style="419" customWidth="1"/>
    <col min="6415" max="6415" width="20" style="419" customWidth="1"/>
    <col min="6416" max="6416" width="10" style="419" customWidth="1"/>
    <col min="6417" max="6417" width="17.42578125" style="419" customWidth="1"/>
    <col min="6418" max="6418" width="9.42578125" style="419" customWidth="1"/>
    <col min="6419" max="6419" width="16.7109375" style="419" customWidth="1"/>
    <col min="6420" max="6420" width="11" style="419" customWidth="1"/>
    <col min="6421" max="6656" width="9.140625" style="419"/>
    <col min="6657" max="6657" width="4" style="419" customWidth="1"/>
    <col min="6658" max="6658" width="4.28515625" style="419" customWidth="1"/>
    <col min="6659" max="6659" width="4" style="419" customWidth="1"/>
    <col min="6660" max="6660" width="3.5703125" style="419" customWidth="1"/>
    <col min="6661" max="6661" width="15.140625" style="419" customWidth="1"/>
    <col min="6662" max="6662" width="20.140625" style="419" customWidth="1"/>
    <col min="6663" max="6664" width="13.28515625" style="419" customWidth="1"/>
    <col min="6665" max="6665" width="18.42578125" style="419" customWidth="1"/>
    <col min="6666" max="6666" width="15.5703125" style="419" customWidth="1"/>
    <col min="6667" max="6667" width="17.28515625" style="419" customWidth="1"/>
    <col min="6668" max="6668" width="9.85546875" style="419" customWidth="1"/>
    <col min="6669" max="6669" width="18" style="419" customWidth="1"/>
    <col min="6670" max="6670" width="9.42578125" style="419" customWidth="1"/>
    <col min="6671" max="6671" width="20" style="419" customWidth="1"/>
    <col min="6672" max="6672" width="10" style="419" customWidth="1"/>
    <col min="6673" max="6673" width="17.42578125" style="419" customWidth="1"/>
    <col min="6674" max="6674" width="9.42578125" style="419" customWidth="1"/>
    <col min="6675" max="6675" width="16.7109375" style="419" customWidth="1"/>
    <col min="6676" max="6676" width="11" style="419" customWidth="1"/>
    <col min="6677" max="6912" width="9.140625" style="419"/>
    <col min="6913" max="6913" width="4" style="419" customWidth="1"/>
    <col min="6914" max="6914" width="4.28515625" style="419" customWidth="1"/>
    <col min="6915" max="6915" width="4" style="419" customWidth="1"/>
    <col min="6916" max="6916" width="3.5703125" style="419" customWidth="1"/>
    <col min="6917" max="6917" width="15.140625" style="419" customWidth="1"/>
    <col min="6918" max="6918" width="20.140625" style="419" customWidth="1"/>
    <col min="6919" max="6920" width="13.28515625" style="419" customWidth="1"/>
    <col min="6921" max="6921" width="18.42578125" style="419" customWidth="1"/>
    <col min="6922" max="6922" width="15.5703125" style="419" customWidth="1"/>
    <col min="6923" max="6923" width="17.28515625" style="419" customWidth="1"/>
    <col min="6924" max="6924" width="9.85546875" style="419" customWidth="1"/>
    <col min="6925" max="6925" width="18" style="419" customWidth="1"/>
    <col min="6926" max="6926" width="9.42578125" style="419" customWidth="1"/>
    <col min="6927" max="6927" width="20" style="419" customWidth="1"/>
    <col min="6928" max="6928" width="10" style="419" customWidth="1"/>
    <col min="6929" max="6929" width="17.42578125" style="419" customWidth="1"/>
    <col min="6930" max="6930" width="9.42578125" style="419" customWidth="1"/>
    <col min="6931" max="6931" width="16.7109375" style="419" customWidth="1"/>
    <col min="6932" max="6932" width="11" style="419" customWidth="1"/>
    <col min="6933" max="7168" width="9.140625" style="419"/>
    <col min="7169" max="7169" width="4" style="419" customWidth="1"/>
    <col min="7170" max="7170" width="4.28515625" style="419" customWidth="1"/>
    <col min="7171" max="7171" width="4" style="419" customWidth="1"/>
    <col min="7172" max="7172" width="3.5703125" style="419" customWidth="1"/>
    <col min="7173" max="7173" width="15.140625" style="419" customWidth="1"/>
    <col min="7174" max="7174" width="20.140625" style="419" customWidth="1"/>
    <col min="7175" max="7176" width="13.28515625" style="419" customWidth="1"/>
    <col min="7177" max="7177" width="18.42578125" style="419" customWidth="1"/>
    <col min="7178" max="7178" width="15.5703125" style="419" customWidth="1"/>
    <col min="7179" max="7179" width="17.28515625" style="419" customWidth="1"/>
    <col min="7180" max="7180" width="9.85546875" style="419" customWidth="1"/>
    <col min="7181" max="7181" width="18" style="419" customWidth="1"/>
    <col min="7182" max="7182" width="9.42578125" style="419" customWidth="1"/>
    <col min="7183" max="7183" width="20" style="419" customWidth="1"/>
    <col min="7184" max="7184" width="10" style="419" customWidth="1"/>
    <col min="7185" max="7185" width="17.42578125" style="419" customWidth="1"/>
    <col min="7186" max="7186" width="9.42578125" style="419" customWidth="1"/>
    <col min="7187" max="7187" width="16.7109375" style="419" customWidth="1"/>
    <col min="7188" max="7188" width="11" style="419" customWidth="1"/>
    <col min="7189" max="7424" width="9.140625" style="419"/>
    <col min="7425" max="7425" width="4" style="419" customWidth="1"/>
    <col min="7426" max="7426" width="4.28515625" style="419" customWidth="1"/>
    <col min="7427" max="7427" width="4" style="419" customWidth="1"/>
    <col min="7428" max="7428" width="3.5703125" style="419" customWidth="1"/>
    <col min="7429" max="7429" width="15.140625" style="419" customWidth="1"/>
    <col min="7430" max="7430" width="20.140625" style="419" customWidth="1"/>
    <col min="7431" max="7432" width="13.28515625" style="419" customWidth="1"/>
    <col min="7433" max="7433" width="18.42578125" style="419" customWidth="1"/>
    <col min="7434" max="7434" width="15.5703125" style="419" customWidth="1"/>
    <col min="7435" max="7435" width="17.28515625" style="419" customWidth="1"/>
    <col min="7436" max="7436" width="9.85546875" style="419" customWidth="1"/>
    <col min="7437" max="7437" width="18" style="419" customWidth="1"/>
    <col min="7438" max="7438" width="9.42578125" style="419" customWidth="1"/>
    <col min="7439" max="7439" width="20" style="419" customWidth="1"/>
    <col min="7440" max="7440" width="10" style="419" customWidth="1"/>
    <col min="7441" max="7441" width="17.42578125" style="419" customWidth="1"/>
    <col min="7442" max="7442" width="9.42578125" style="419" customWidth="1"/>
    <col min="7443" max="7443" width="16.7109375" style="419" customWidth="1"/>
    <col min="7444" max="7444" width="11" style="419" customWidth="1"/>
    <col min="7445" max="7680" width="9.140625" style="419"/>
    <col min="7681" max="7681" width="4" style="419" customWidth="1"/>
    <col min="7682" max="7682" width="4.28515625" style="419" customWidth="1"/>
    <col min="7683" max="7683" width="4" style="419" customWidth="1"/>
    <col min="7684" max="7684" width="3.5703125" style="419" customWidth="1"/>
    <col min="7685" max="7685" width="15.140625" style="419" customWidth="1"/>
    <col min="7686" max="7686" width="20.140625" style="419" customWidth="1"/>
    <col min="7687" max="7688" width="13.28515625" style="419" customWidth="1"/>
    <col min="7689" max="7689" width="18.42578125" style="419" customWidth="1"/>
    <col min="7690" max="7690" width="15.5703125" style="419" customWidth="1"/>
    <col min="7691" max="7691" width="17.28515625" style="419" customWidth="1"/>
    <col min="7692" max="7692" width="9.85546875" style="419" customWidth="1"/>
    <col min="7693" max="7693" width="18" style="419" customWidth="1"/>
    <col min="7694" max="7694" width="9.42578125" style="419" customWidth="1"/>
    <col min="7695" max="7695" width="20" style="419" customWidth="1"/>
    <col min="7696" max="7696" width="10" style="419" customWidth="1"/>
    <col min="7697" max="7697" width="17.42578125" style="419" customWidth="1"/>
    <col min="7698" max="7698" width="9.42578125" style="419" customWidth="1"/>
    <col min="7699" max="7699" width="16.7109375" style="419" customWidth="1"/>
    <col min="7700" max="7700" width="11" style="419" customWidth="1"/>
    <col min="7701" max="7936" width="9.140625" style="419"/>
    <col min="7937" max="7937" width="4" style="419" customWidth="1"/>
    <col min="7938" max="7938" width="4.28515625" style="419" customWidth="1"/>
    <col min="7939" max="7939" width="4" style="419" customWidth="1"/>
    <col min="7940" max="7940" width="3.5703125" style="419" customWidth="1"/>
    <col min="7941" max="7941" width="15.140625" style="419" customWidth="1"/>
    <col min="7942" max="7942" width="20.140625" style="419" customWidth="1"/>
    <col min="7943" max="7944" width="13.28515625" style="419" customWidth="1"/>
    <col min="7945" max="7945" width="18.42578125" style="419" customWidth="1"/>
    <col min="7946" max="7946" width="15.5703125" style="419" customWidth="1"/>
    <col min="7947" max="7947" width="17.28515625" style="419" customWidth="1"/>
    <col min="7948" max="7948" width="9.85546875" style="419" customWidth="1"/>
    <col min="7949" max="7949" width="18" style="419" customWidth="1"/>
    <col min="7950" max="7950" width="9.42578125" style="419" customWidth="1"/>
    <col min="7951" max="7951" width="20" style="419" customWidth="1"/>
    <col min="7952" max="7952" width="10" style="419" customWidth="1"/>
    <col min="7953" max="7953" width="17.42578125" style="419" customWidth="1"/>
    <col min="7954" max="7954" width="9.42578125" style="419" customWidth="1"/>
    <col min="7955" max="7955" width="16.7109375" style="419" customWidth="1"/>
    <col min="7956" max="7956" width="11" style="419" customWidth="1"/>
    <col min="7957" max="8192" width="9.140625" style="419"/>
    <col min="8193" max="8193" width="4" style="419" customWidth="1"/>
    <col min="8194" max="8194" width="4.28515625" style="419" customWidth="1"/>
    <col min="8195" max="8195" width="4" style="419" customWidth="1"/>
    <col min="8196" max="8196" width="3.5703125" style="419" customWidth="1"/>
    <col min="8197" max="8197" width="15.140625" style="419" customWidth="1"/>
    <col min="8198" max="8198" width="20.140625" style="419" customWidth="1"/>
    <col min="8199" max="8200" width="13.28515625" style="419" customWidth="1"/>
    <col min="8201" max="8201" width="18.42578125" style="419" customWidth="1"/>
    <col min="8202" max="8202" width="15.5703125" style="419" customWidth="1"/>
    <col min="8203" max="8203" width="17.28515625" style="419" customWidth="1"/>
    <col min="8204" max="8204" width="9.85546875" style="419" customWidth="1"/>
    <col min="8205" max="8205" width="18" style="419" customWidth="1"/>
    <col min="8206" max="8206" width="9.42578125" style="419" customWidth="1"/>
    <col min="8207" max="8207" width="20" style="419" customWidth="1"/>
    <col min="8208" max="8208" width="10" style="419" customWidth="1"/>
    <col min="8209" max="8209" width="17.42578125" style="419" customWidth="1"/>
    <col min="8210" max="8210" width="9.42578125" style="419" customWidth="1"/>
    <col min="8211" max="8211" width="16.7109375" style="419" customWidth="1"/>
    <col min="8212" max="8212" width="11" style="419" customWidth="1"/>
    <col min="8213" max="8448" width="9.140625" style="419"/>
    <col min="8449" max="8449" width="4" style="419" customWidth="1"/>
    <col min="8450" max="8450" width="4.28515625" style="419" customWidth="1"/>
    <col min="8451" max="8451" width="4" style="419" customWidth="1"/>
    <col min="8452" max="8452" width="3.5703125" style="419" customWidth="1"/>
    <col min="8453" max="8453" width="15.140625" style="419" customWidth="1"/>
    <col min="8454" max="8454" width="20.140625" style="419" customWidth="1"/>
    <col min="8455" max="8456" width="13.28515625" style="419" customWidth="1"/>
    <col min="8457" max="8457" width="18.42578125" style="419" customWidth="1"/>
    <col min="8458" max="8458" width="15.5703125" style="419" customWidth="1"/>
    <col min="8459" max="8459" width="17.28515625" style="419" customWidth="1"/>
    <col min="8460" max="8460" width="9.85546875" style="419" customWidth="1"/>
    <col min="8461" max="8461" width="18" style="419" customWidth="1"/>
    <col min="8462" max="8462" width="9.42578125" style="419" customWidth="1"/>
    <col min="8463" max="8463" width="20" style="419" customWidth="1"/>
    <col min="8464" max="8464" width="10" style="419" customWidth="1"/>
    <col min="8465" max="8465" width="17.42578125" style="419" customWidth="1"/>
    <col min="8466" max="8466" width="9.42578125" style="419" customWidth="1"/>
    <col min="8467" max="8467" width="16.7109375" style="419" customWidth="1"/>
    <col min="8468" max="8468" width="11" style="419" customWidth="1"/>
    <col min="8469" max="8704" width="9.140625" style="419"/>
    <col min="8705" max="8705" width="4" style="419" customWidth="1"/>
    <col min="8706" max="8706" width="4.28515625" style="419" customWidth="1"/>
    <col min="8707" max="8707" width="4" style="419" customWidth="1"/>
    <col min="8708" max="8708" width="3.5703125" style="419" customWidth="1"/>
    <col min="8709" max="8709" width="15.140625" style="419" customWidth="1"/>
    <col min="8710" max="8710" width="20.140625" style="419" customWidth="1"/>
    <col min="8711" max="8712" width="13.28515625" style="419" customWidth="1"/>
    <col min="8713" max="8713" width="18.42578125" style="419" customWidth="1"/>
    <col min="8714" max="8714" width="15.5703125" style="419" customWidth="1"/>
    <col min="8715" max="8715" width="17.28515625" style="419" customWidth="1"/>
    <col min="8716" max="8716" width="9.85546875" style="419" customWidth="1"/>
    <col min="8717" max="8717" width="18" style="419" customWidth="1"/>
    <col min="8718" max="8718" width="9.42578125" style="419" customWidth="1"/>
    <col min="8719" max="8719" width="20" style="419" customWidth="1"/>
    <col min="8720" max="8720" width="10" style="419" customWidth="1"/>
    <col min="8721" max="8721" width="17.42578125" style="419" customWidth="1"/>
    <col min="8722" max="8722" width="9.42578125" style="419" customWidth="1"/>
    <col min="8723" max="8723" width="16.7109375" style="419" customWidth="1"/>
    <col min="8724" max="8724" width="11" style="419" customWidth="1"/>
    <col min="8725" max="8960" width="9.140625" style="419"/>
    <col min="8961" max="8961" width="4" style="419" customWidth="1"/>
    <col min="8962" max="8962" width="4.28515625" style="419" customWidth="1"/>
    <col min="8963" max="8963" width="4" style="419" customWidth="1"/>
    <col min="8964" max="8964" width="3.5703125" style="419" customWidth="1"/>
    <col min="8965" max="8965" width="15.140625" style="419" customWidth="1"/>
    <col min="8966" max="8966" width="20.140625" style="419" customWidth="1"/>
    <col min="8967" max="8968" width="13.28515625" style="419" customWidth="1"/>
    <col min="8969" max="8969" width="18.42578125" style="419" customWidth="1"/>
    <col min="8970" max="8970" width="15.5703125" style="419" customWidth="1"/>
    <col min="8971" max="8971" width="17.28515625" style="419" customWidth="1"/>
    <col min="8972" max="8972" width="9.85546875" style="419" customWidth="1"/>
    <col min="8973" max="8973" width="18" style="419" customWidth="1"/>
    <col min="8974" max="8974" width="9.42578125" style="419" customWidth="1"/>
    <col min="8975" max="8975" width="20" style="419" customWidth="1"/>
    <col min="8976" max="8976" width="10" style="419" customWidth="1"/>
    <col min="8977" max="8977" width="17.42578125" style="419" customWidth="1"/>
    <col min="8978" max="8978" width="9.42578125" style="419" customWidth="1"/>
    <col min="8979" max="8979" width="16.7109375" style="419" customWidth="1"/>
    <col min="8980" max="8980" width="11" style="419" customWidth="1"/>
    <col min="8981" max="9216" width="9.140625" style="419"/>
    <col min="9217" max="9217" width="4" style="419" customWidth="1"/>
    <col min="9218" max="9218" width="4.28515625" style="419" customWidth="1"/>
    <col min="9219" max="9219" width="4" style="419" customWidth="1"/>
    <col min="9220" max="9220" width="3.5703125" style="419" customWidth="1"/>
    <col min="9221" max="9221" width="15.140625" style="419" customWidth="1"/>
    <col min="9222" max="9222" width="20.140625" style="419" customWidth="1"/>
    <col min="9223" max="9224" width="13.28515625" style="419" customWidth="1"/>
    <col min="9225" max="9225" width="18.42578125" style="419" customWidth="1"/>
    <col min="9226" max="9226" width="15.5703125" style="419" customWidth="1"/>
    <col min="9227" max="9227" width="17.28515625" style="419" customWidth="1"/>
    <col min="9228" max="9228" width="9.85546875" style="419" customWidth="1"/>
    <col min="9229" max="9229" width="18" style="419" customWidth="1"/>
    <col min="9230" max="9230" width="9.42578125" style="419" customWidth="1"/>
    <col min="9231" max="9231" width="20" style="419" customWidth="1"/>
    <col min="9232" max="9232" width="10" style="419" customWidth="1"/>
    <col min="9233" max="9233" width="17.42578125" style="419" customWidth="1"/>
    <col min="9234" max="9234" width="9.42578125" style="419" customWidth="1"/>
    <col min="9235" max="9235" width="16.7109375" style="419" customWidth="1"/>
    <col min="9236" max="9236" width="11" style="419" customWidth="1"/>
    <col min="9237" max="9472" width="9.140625" style="419"/>
    <col min="9473" max="9473" width="4" style="419" customWidth="1"/>
    <col min="9474" max="9474" width="4.28515625" style="419" customWidth="1"/>
    <col min="9475" max="9475" width="4" style="419" customWidth="1"/>
    <col min="9476" max="9476" width="3.5703125" style="419" customWidth="1"/>
    <col min="9477" max="9477" width="15.140625" style="419" customWidth="1"/>
    <col min="9478" max="9478" width="20.140625" style="419" customWidth="1"/>
    <col min="9479" max="9480" width="13.28515625" style="419" customWidth="1"/>
    <col min="9481" max="9481" width="18.42578125" style="419" customWidth="1"/>
    <col min="9482" max="9482" width="15.5703125" style="419" customWidth="1"/>
    <col min="9483" max="9483" width="17.28515625" style="419" customWidth="1"/>
    <col min="9484" max="9484" width="9.85546875" style="419" customWidth="1"/>
    <col min="9485" max="9485" width="18" style="419" customWidth="1"/>
    <col min="9486" max="9486" width="9.42578125" style="419" customWidth="1"/>
    <col min="9487" max="9487" width="20" style="419" customWidth="1"/>
    <col min="9488" max="9488" width="10" style="419" customWidth="1"/>
    <col min="9489" max="9489" width="17.42578125" style="419" customWidth="1"/>
    <col min="9490" max="9490" width="9.42578125" style="419" customWidth="1"/>
    <col min="9491" max="9491" width="16.7109375" style="419" customWidth="1"/>
    <col min="9492" max="9492" width="11" style="419" customWidth="1"/>
    <col min="9493" max="9728" width="9.140625" style="419"/>
    <col min="9729" max="9729" width="4" style="419" customWidth="1"/>
    <col min="9730" max="9730" width="4.28515625" style="419" customWidth="1"/>
    <col min="9731" max="9731" width="4" style="419" customWidth="1"/>
    <col min="9732" max="9732" width="3.5703125" style="419" customWidth="1"/>
    <col min="9733" max="9733" width="15.140625" style="419" customWidth="1"/>
    <col min="9734" max="9734" width="20.140625" style="419" customWidth="1"/>
    <col min="9735" max="9736" width="13.28515625" style="419" customWidth="1"/>
    <col min="9737" max="9737" width="18.42578125" style="419" customWidth="1"/>
    <col min="9738" max="9738" width="15.5703125" style="419" customWidth="1"/>
    <col min="9739" max="9739" width="17.28515625" style="419" customWidth="1"/>
    <col min="9740" max="9740" width="9.85546875" style="419" customWidth="1"/>
    <col min="9741" max="9741" width="18" style="419" customWidth="1"/>
    <col min="9742" max="9742" width="9.42578125" style="419" customWidth="1"/>
    <col min="9743" max="9743" width="20" style="419" customWidth="1"/>
    <col min="9744" max="9744" width="10" style="419" customWidth="1"/>
    <col min="9745" max="9745" width="17.42578125" style="419" customWidth="1"/>
    <col min="9746" max="9746" width="9.42578125" style="419" customWidth="1"/>
    <col min="9747" max="9747" width="16.7109375" style="419" customWidth="1"/>
    <col min="9748" max="9748" width="11" style="419" customWidth="1"/>
    <col min="9749" max="9984" width="9.140625" style="419"/>
    <col min="9985" max="9985" width="4" style="419" customWidth="1"/>
    <col min="9986" max="9986" width="4.28515625" style="419" customWidth="1"/>
    <col min="9987" max="9987" width="4" style="419" customWidth="1"/>
    <col min="9988" max="9988" width="3.5703125" style="419" customWidth="1"/>
    <col min="9989" max="9989" width="15.140625" style="419" customWidth="1"/>
    <col min="9990" max="9990" width="20.140625" style="419" customWidth="1"/>
    <col min="9991" max="9992" width="13.28515625" style="419" customWidth="1"/>
    <col min="9993" max="9993" width="18.42578125" style="419" customWidth="1"/>
    <col min="9994" max="9994" width="15.5703125" style="419" customWidth="1"/>
    <col min="9995" max="9995" width="17.28515625" style="419" customWidth="1"/>
    <col min="9996" max="9996" width="9.85546875" style="419" customWidth="1"/>
    <col min="9997" max="9997" width="18" style="419" customWidth="1"/>
    <col min="9998" max="9998" width="9.42578125" style="419" customWidth="1"/>
    <col min="9999" max="9999" width="20" style="419" customWidth="1"/>
    <col min="10000" max="10000" width="10" style="419" customWidth="1"/>
    <col min="10001" max="10001" width="17.42578125" style="419" customWidth="1"/>
    <col min="10002" max="10002" width="9.42578125" style="419" customWidth="1"/>
    <col min="10003" max="10003" width="16.7109375" style="419" customWidth="1"/>
    <col min="10004" max="10004" width="11" style="419" customWidth="1"/>
    <col min="10005" max="10240" width="9.140625" style="419"/>
    <col min="10241" max="10241" width="4" style="419" customWidth="1"/>
    <col min="10242" max="10242" width="4.28515625" style="419" customWidth="1"/>
    <col min="10243" max="10243" width="4" style="419" customWidth="1"/>
    <col min="10244" max="10244" width="3.5703125" style="419" customWidth="1"/>
    <col min="10245" max="10245" width="15.140625" style="419" customWidth="1"/>
    <col min="10246" max="10246" width="20.140625" style="419" customWidth="1"/>
    <col min="10247" max="10248" width="13.28515625" style="419" customWidth="1"/>
    <col min="10249" max="10249" width="18.42578125" style="419" customWidth="1"/>
    <col min="10250" max="10250" width="15.5703125" style="419" customWidth="1"/>
    <col min="10251" max="10251" width="17.28515625" style="419" customWidth="1"/>
    <col min="10252" max="10252" width="9.85546875" style="419" customWidth="1"/>
    <col min="10253" max="10253" width="18" style="419" customWidth="1"/>
    <col min="10254" max="10254" width="9.42578125" style="419" customWidth="1"/>
    <col min="10255" max="10255" width="20" style="419" customWidth="1"/>
    <col min="10256" max="10256" width="10" style="419" customWidth="1"/>
    <col min="10257" max="10257" width="17.42578125" style="419" customWidth="1"/>
    <col min="10258" max="10258" width="9.42578125" style="419" customWidth="1"/>
    <col min="10259" max="10259" width="16.7109375" style="419" customWidth="1"/>
    <col min="10260" max="10260" width="11" style="419" customWidth="1"/>
    <col min="10261" max="10496" width="9.140625" style="419"/>
    <col min="10497" max="10497" width="4" style="419" customWidth="1"/>
    <col min="10498" max="10498" width="4.28515625" style="419" customWidth="1"/>
    <col min="10499" max="10499" width="4" style="419" customWidth="1"/>
    <col min="10500" max="10500" width="3.5703125" style="419" customWidth="1"/>
    <col min="10501" max="10501" width="15.140625" style="419" customWidth="1"/>
    <col min="10502" max="10502" width="20.140625" style="419" customWidth="1"/>
    <col min="10503" max="10504" width="13.28515625" style="419" customWidth="1"/>
    <col min="10505" max="10505" width="18.42578125" style="419" customWidth="1"/>
    <col min="10506" max="10506" width="15.5703125" style="419" customWidth="1"/>
    <col min="10507" max="10507" width="17.28515625" style="419" customWidth="1"/>
    <col min="10508" max="10508" width="9.85546875" style="419" customWidth="1"/>
    <col min="10509" max="10509" width="18" style="419" customWidth="1"/>
    <col min="10510" max="10510" width="9.42578125" style="419" customWidth="1"/>
    <col min="10511" max="10511" width="20" style="419" customWidth="1"/>
    <col min="10512" max="10512" width="10" style="419" customWidth="1"/>
    <col min="10513" max="10513" width="17.42578125" style="419" customWidth="1"/>
    <col min="10514" max="10514" width="9.42578125" style="419" customWidth="1"/>
    <col min="10515" max="10515" width="16.7109375" style="419" customWidth="1"/>
    <col min="10516" max="10516" width="11" style="419" customWidth="1"/>
    <col min="10517" max="10752" width="9.140625" style="419"/>
    <col min="10753" max="10753" width="4" style="419" customWidth="1"/>
    <col min="10754" max="10754" width="4.28515625" style="419" customWidth="1"/>
    <col min="10755" max="10755" width="4" style="419" customWidth="1"/>
    <col min="10756" max="10756" width="3.5703125" style="419" customWidth="1"/>
    <col min="10757" max="10757" width="15.140625" style="419" customWidth="1"/>
    <col min="10758" max="10758" width="20.140625" style="419" customWidth="1"/>
    <col min="10759" max="10760" width="13.28515625" style="419" customWidth="1"/>
    <col min="10761" max="10761" width="18.42578125" style="419" customWidth="1"/>
    <col min="10762" max="10762" width="15.5703125" style="419" customWidth="1"/>
    <col min="10763" max="10763" width="17.28515625" style="419" customWidth="1"/>
    <col min="10764" max="10764" width="9.85546875" style="419" customWidth="1"/>
    <col min="10765" max="10765" width="18" style="419" customWidth="1"/>
    <col min="10766" max="10766" width="9.42578125" style="419" customWidth="1"/>
    <col min="10767" max="10767" width="20" style="419" customWidth="1"/>
    <col min="10768" max="10768" width="10" style="419" customWidth="1"/>
    <col min="10769" max="10769" width="17.42578125" style="419" customWidth="1"/>
    <col min="10770" max="10770" width="9.42578125" style="419" customWidth="1"/>
    <col min="10771" max="10771" width="16.7109375" style="419" customWidth="1"/>
    <col min="10772" max="10772" width="11" style="419" customWidth="1"/>
    <col min="10773" max="11008" width="9.140625" style="419"/>
    <col min="11009" max="11009" width="4" style="419" customWidth="1"/>
    <col min="11010" max="11010" width="4.28515625" style="419" customWidth="1"/>
    <col min="11011" max="11011" width="4" style="419" customWidth="1"/>
    <col min="11012" max="11012" width="3.5703125" style="419" customWidth="1"/>
    <col min="11013" max="11013" width="15.140625" style="419" customWidth="1"/>
    <col min="11014" max="11014" width="20.140625" style="419" customWidth="1"/>
    <col min="11015" max="11016" width="13.28515625" style="419" customWidth="1"/>
    <col min="11017" max="11017" width="18.42578125" style="419" customWidth="1"/>
    <col min="11018" max="11018" width="15.5703125" style="419" customWidth="1"/>
    <col min="11019" max="11019" width="17.28515625" style="419" customWidth="1"/>
    <col min="11020" max="11020" width="9.85546875" style="419" customWidth="1"/>
    <col min="11021" max="11021" width="18" style="419" customWidth="1"/>
    <col min="11022" max="11022" width="9.42578125" style="419" customWidth="1"/>
    <col min="11023" max="11023" width="20" style="419" customWidth="1"/>
    <col min="11024" max="11024" width="10" style="419" customWidth="1"/>
    <col min="11025" max="11025" width="17.42578125" style="419" customWidth="1"/>
    <col min="11026" max="11026" width="9.42578125" style="419" customWidth="1"/>
    <col min="11027" max="11027" width="16.7109375" style="419" customWidth="1"/>
    <col min="11028" max="11028" width="11" style="419" customWidth="1"/>
    <col min="11029" max="11264" width="9.140625" style="419"/>
    <col min="11265" max="11265" width="4" style="419" customWidth="1"/>
    <col min="11266" max="11266" width="4.28515625" style="419" customWidth="1"/>
    <col min="11267" max="11267" width="4" style="419" customWidth="1"/>
    <col min="11268" max="11268" width="3.5703125" style="419" customWidth="1"/>
    <col min="11269" max="11269" width="15.140625" style="419" customWidth="1"/>
    <col min="11270" max="11270" width="20.140625" style="419" customWidth="1"/>
    <col min="11271" max="11272" width="13.28515625" style="419" customWidth="1"/>
    <col min="11273" max="11273" width="18.42578125" style="419" customWidth="1"/>
    <col min="11274" max="11274" width="15.5703125" style="419" customWidth="1"/>
    <col min="11275" max="11275" width="17.28515625" style="419" customWidth="1"/>
    <col min="11276" max="11276" width="9.85546875" style="419" customWidth="1"/>
    <col min="11277" max="11277" width="18" style="419" customWidth="1"/>
    <col min="11278" max="11278" width="9.42578125" style="419" customWidth="1"/>
    <col min="11279" max="11279" width="20" style="419" customWidth="1"/>
    <col min="11280" max="11280" width="10" style="419" customWidth="1"/>
    <col min="11281" max="11281" width="17.42578125" style="419" customWidth="1"/>
    <col min="11282" max="11282" width="9.42578125" style="419" customWidth="1"/>
    <col min="11283" max="11283" width="16.7109375" style="419" customWidth="1"/>
    <col min="11284" max="11284" width="11" style="419" customWidth="1"/>
    <col min="11285" max="11520" width="9.140625" style="419"/>
    <col min="11521" max="11521" width="4" style="419" customWidth="1"/>
    <col min="11522" max="11522" width="4.28515625" style="419" customWidth="1"/>
    <col min="11523" max="11523" width="4" style="419" customWidth="1"/>
    <col min="11524" max="11524" width="3.5703125" style="419" customWidth="1"/>
    <col min="11525" max="11525" width="15.140625" style="419" customWidth="1"/>
    <col min="11526" max="11526" width="20.140625" style="419" customWidth="1"/>
    <col min="11527" max="11528" width="13.28515625" style="419" customWidth="1"/>
    <col min="11529" max="11529" width="18.42578125" style="419" customWidth="1"/>
    <col min="11530" max="11530" width="15.5703125" style="419" customWidth="1"/>
    <col min="11531" max="11531" width="17.28515625" style="419" customWidth="1"/>
    <col min="11532" max="11532" width="9.85546875" style="419" customWidth="1"/>
    <col min="11533" max="11533" width="18" style="419" customWidth="1"/>
    <col min="11534" max="11534" width="9.42578125" style="419" customWidth="1"/>
    <col min="11535" max="11535" width="20" style="419" customWidth="1"/>
    <col min="11536" max="11536" width="10" style="419" customWidth="1"/>
    <col min="11537" max="11537" width="17.42578125" style="419" customWidth="1"/>
    <col min="11538" max="11538" width="9.42578125" style="419" customWidth="1"/>
    <col min="11539" max="11539" width="16.7109375" style="419" customWidth="1"/>
    <col min="11540" max="11540" width="11" style="419" customWidth="1"/>
    <col min="11541" max="11776" width="9.140625" style="419"/>
    <col min="11777" max="11777" width="4" style="419" customWidth="1"/>
    <col min="11778" max="11778" width="4.28515625" style="419" customWidth="1"/>
    <col min="11779" max="11779" width="4" style="419" customWidth="1"/>
    <col min="11780" max="11780" width="3.5703125" style="419" customWidth="1"/>
    <col min="11781" max="11781" width="15.140625" style="419" customWidth="1"/>
    <col min="11782" max="11782" width="20.140625" style="419" customWidth="1"/>
    <col min="11783" max="11784" width="13.28515625" style="419" customWidth="1"/>
    <col min="11785" max="11785" width="18.42578125" style="419" customWidth="1"/>
    <col min="11786" max="11786" width="15.5703125" style="419" customWidth="1"/>
    <col min="11787" max="11787" width="17.28515625" style="419" customWidth="1"/>
    <col min="11788" max="11788" width="9.85546875" style="419" customWidth="1"/>
    <col min="11789" max="11789" width="18" style="419" customWidth="1"/>
    <col min="11790" max="11790" width="9.42578125" style="419" customWidth="1"/>
    <col min="11791" max="11791" width="20" style="419" customWidth="1"/>
    <col min="11792" max="11792" width="10" style="419" customWidth="1"/>
    <col min="11793" max="11793" width="17.42578125" style="419" customWidth="1"/>
    <col min="11794" max="11794" width="9.42578125" style="419" customWidth="1"/>
    <col min="11795" max="11795" width="16.7109375" style="419" customWidth="1"/>
    <col min="11796" max="11796" width="11" style="419" customWidth="1"/>
    <col min="11797" max="12032" width="9.140625" style="419"/>
    <col min="12033" max="12033" width="4" style="419" customWidth="1"/>
    <col min="12034" max="12034" width="4.28515625" style="419" customWidth="1"/>
    <col min="12035" max="12035" width="4" style="419" customWidth="1"/>
    <col min="12036" max="12036" width="3.5703125" style="419" customWidth="1"/>
    <col min="12037" max="12037" width="15.140625" style="419" customWidth="1"/>
    <col min="12038" max="12038" width="20.140625" style="419" customWidth="1"/>
    <col min="12039" max="12040" width="13.28515625" style="419" customWidth="1"/>
    <col min="12041" max="12041" width="18.42578125" style="419" customWidth="1"/>
    <col min="12042" max="12042" width="15.5703125" style="419" customWidth="1"/>
    <col min="12043" max="12043" width="17.28515625" style="419" customWidth="1"/>
    <col min="12044" max="12044" width="9.85546875" style="419" customWidth="1"/>
    <col min="12045" max="12045" width="18" style="419" customWidth="1"/>
    <col min="12046" max="12046" width="9.42578125" style="419" customWidth="1"/>
    <col min="12047" max="12047" width="20" style="419" customWidth="1"/>
    <col min="12048" max="12048" width="10" style="419" customWidth="1"/>
    <col min="12049" max="12049" width="17.42578125" style="419" customWidth="1"/>
    <col min="12050" max="12050" width="9.42578125" style="419" customWidth="1"/>
    <col min="12051" max="12051" width="16.7109375" style="419" customWidth="1"/>
    <col min="12052" max="12052" width="11" style="419" customWidth="1"/>
    <col min="12053" max="12288" width="9.140625" style="419"/>
    <col min="12289" max="12289" width="4" style="419" customWidth="1"/>
    <col min="12290" max="12290" width="4.28515625" style="419" customWidth="1"/>
    <col min="12291" max="12291" width="4" style="419" customWidth="1"/>
    <col min="12292" max="12292" width="3.5703125" style="419" customWidth="1"/>
    <col min="12293" max="12293" width="15.140625" style="419" customWidth="1"/>
    <col min="12294" max="12294" width="20.140625" style="419" customWidth="1"/>
    <col min="12295" max="12296" width="13.28515625" style="419" customWidth="1"/>
    <col min="12297" max="12297" width="18.42578125" style="419" customWidth="1"/>
    <col min="12298" max="12298" width="15.5703125" style="419" customWidth="1"/>
    <col min="12299" max="12299" width="17.28515625" style="419" customWidth="1"/>
    <col min="12300" max="12300" width="9.85546875" style="419" customWidth="1"/>
    <col min="12301" max="12301" width="18" style="419" customWidth="1"/>
    <col min="12302" max="12302" width="9.42578125" style="419" customWidth="1"/>
    <col min="12303" max="12303" width="20" style="419" customWidth="1"/>
    <col min="12304" max="12304" width="10" style="419" customWidth="1"/>
    <col min="12305" max="12305" width="17.42578125" style="419" customWidth="1"/>
    <col min="12306" max="12306" width="9.42578125" style="419" customWidth="1"/>
    <col min="12307" max="12307" width="16.7109375" style="419" customWidth="1"/>
    <col min="12308" max="12308" width="11" style="419" customWidth="1"/>
    <col min="12309" max="12544" width="9.140625" style="419"/>
    <col min="12545" max="12545" width="4" style="419" customWidth="1"/>
    <col min="12546" max="12546" width="4.28515625" style="419" customWidth="1"/>
    <col min="12547" max="12547" width="4" style="419" customWidth="1"/>
    <col min="12548" max="12548" width="3.5703125" style="419" customWidth="1"/>
    <col min="12549" max="12549" width="15.140625" style="419" customWidth="1"/>
    <col min="12550" max="12550" width="20.140625" style="419" customWidth="1"/>
    <col min="12551" max="12552" width="13.28515625" style="419" customWidth="1"/>
    <col min="12553" max="12553" width="18.42578125" style="419" customWidth="1"/>
    <col min="12554" max="12554" width="15.5703125" style="419" customWidth="1"/>
    <col min="12555" max="12555" width="17.28515625" style="419" customWidth="1"/>
    <col min="12556" max="12556" width="9.85546875" style="419" customWidth="1"/>
    <col min="12557" max="12557" width="18" style="419" customWidth="1"/>
    <col min="12558" max="12558" width="9.42578125" style="419" customWidth="1"/>
    <col min="12559" max="12559" width="20" style="419" customWidth="1"/>
    <col min="12560" max="12560" width="10" style="419" customWidth="1"/>
    <col min="12561" max="12561" width="17.42578125" style="419" customWidth="1"/>
    <col min="12562" max="12562" width="9.42578125" style="419" customWidth="1"/>
    <col min="12563" max="12563" width="16.7109375" style="419" customWidth="1"/>
    <col min="12564" max="12564" width="11" style="419" customWidth="1"/>
    <col min="12565" max="12800" width="9.140625" style="419"/>
    <col min="12801" max="12801" width="4" style="419" customWidth="1"/>
    <col min="12802" max="12802" width="4.28515625" style="419" customWidth="1"/>
    <col min="12803" max="12803" width="4" style="419" customWidth="1"/>
    <col min="12804" max="12804" width="3.5703125" style="419" customWidth="1"/>
    <col min="12805" max="12805" width="15.140625" style="419" customWidth="1"/>
    <col min="12806" max="12806" width="20.140625" style="419" customWidth="1"/>
    <col min="12807" max="12808" width="13.28515625" style="419" customWidth="1"/>
    <col min="12809" max="12809" width="18.42578125" style="419" customWidth="1"/>
    <col min="12810" max="12810" width="15.5703125" style="419" customWidth="1"/>
    <col min="12811" max="12811" width="17.28515625" style="419" customWidth="1"/>
    <col min="12812" max="12812" width="9.85546875" style="419" customWidth="1"/>
    <col min="12813" max="12813" width="18" style="419" customWidth="1"/>
    <col min="12814" max="12814" width="9.42578125" style="419" customWidth="1"/>
    <col min="12815" max="12815" width="20" style="419" customWidth="1"/>
    <col min="12816" max="12816" width="10" style="419" customWidth="1"/>
    <col min="12817" max="12817" width="17.42578125" style="419" customWidth="1"/>
    <col min="12818" max="12818" width="9.42578125" style="419" customWidth="1"/>
    <col min="12819" max="12819" width="16.7109375" style="419" customWidth="1"/>
    <col min="12820" max="12820" width="11" style="419" customWidth="1"/>
    <col min="12821" max="13056" width="9.140625" style="419"/>
    <col min="13057" max="13057" width="4" style="419" customWidth="1"/>
    <col min="13058" max="13058" width="4.28515625" style="419" customWidth="1"/>
    <col min="13059" max="13059" width="4" style="419" customWidth="1"/>
    <col min="13060" max="13060" width="3.5703125" style="419" customWidth="1"/>
    <col min="13061" max="13061" width="15.140625" style="419" customWidth="1"/>
    <col min="13062" max="13062" width="20.140625" style="419" customWidth="1"/>
    <col min="13063" max="13064" width="13.28515625" style="419" customWidth="1"/>
    <col min="13065" max="13065" width="18.42578125" style="419" customWidth="1"/>
    <col min="13066" max="13066" width="15.5703125" style="419" customWidth="1"/>
    <col min="13067" max="13067" width="17.28515625" style="419" customWidth="1"/>
    <col min="13068" max="13068" width="9.85546875" style="419" customWidth="1"/>
    <col min="13069" max="13069" width="18" style="419" customWidth="1"/>
    <col min="13070" max="13070" width="9.42578125" style="419" customWidth="1"/>
    <col min="13071" max="13071" width="20" style="419" customWidth="1"/>
    <col min="13072" max="13072" width="10" style="419" customWidth="1"/>
    <col min="13073" max="13073" width="17.42578125" style="419" customWidth="1"/>
    <col min="13074" max="13074" width="9.42578125" style="419" customWidth="1"/>
    <col min="13075" max="13075" width="16.7109375" style="419" customWidth="1"/>
    <col min="13076" max="13076" width="11" style="419" customWidth="1"/>
    <col min="13077" max="13312" width="9.140625" style="419"/>
    <col min="13313" max="13313" width="4" style="419" customWidth="1"/>
    <col min="13314" max="13314" width="4.28515625" style="419" customWidth="1"/>
    <col min="13315" max="13315" width="4" style="419" customWidth="1"/>
    <col min="13316" max="13316" width="3.5703125" style="419" customWidth="1"/>
    <col min="13317" max="13317" width="15.140625" style="419" customWidth="1"/>
    <col min="13318" max="13318" width="20.140625" style="419" customWidth="1"/>
    <col min="13319" max="13320" width="13.28515625" style="419" customWidth="1"/>
    <col min="13321" max="13321" width="18.42578125" style="419" customWidth="1"/>
    <col min="13322" max="13322" width="15.5703125" style="419" customWidth="1"/>
    <col min="13323" max="13323" width="17.28515625" style="419" customWidth="1"/>
    <col min="13324" max="13324" width="9.85546875" style="419" customWidth="1"/>
    <col min="13325" max="13325" width="18" style="419" customWidth="1"/>
    <col min="13326" max="13326" width="9.42578125" style="419" customWidth="1"/>
    <col min="13327" max="13327" width="20" style="419" customWidth="1"/>
    <col min="13328" max="13328" width="10" style="419" customWidth="1"/>
    <col min="13329" max="13329" width="17.42578125" style="419" customWidth="1"/>
    <col min="13330" max="13330" width="9.42578125" style="419" customWidth="1"/>
    <col min="13331" max="13331" width="16.7109375" style="419" customWidth="1"/>
    <col min="13332" max="13332" width="11" style="419" customWidth="1"/>
    <col min="13333" max="13568" width="9.140625" style="419"/>
    <col min="13569" max="13569" width="4" style="419" customWidth="1"/>
    <col min="13570" max="13570" width="4.28515625" style="419" customWidth="1"/>
    <col min="13571" max="13571" width="4" style="419" customWidth="1"/>
    <col min="13572" max="13572" width="3.5703125" style="419" customWidth="1"/>
    <col min="13573" max="13573" width="15.140625" style="419" customWidth="1"/>
    <col min="13574" max="13574" width="20.140625" style="419" customWidth="1"/>
    <col min="13575" max="13576" width="13.28515625" style="419" customWidth="1"/>
    <col min="13577" max="13577" width="18.42578125" style="419" customWidth="1"/>
    <col min="13578" max="13578" width="15.5703125" style="419" customWidth="1"/>
    <col min="13579" max="13579" width="17.28515625" style="419" customWidth="1"/>
    <col min="13580" max="13580" width="9.85546875" style="419" customWidth="1"/>
    <col min="13581" max="13581" width="18" style="419" customWidth="1"/>
    <col min="13582" max="13582" width="9.42578125" style="419" customWidth="1"/>
    <col min="13583" max="13583" width="20" style="419" customWidth="1"/>
    <col min="13584" max="13584" width="10" style="419" customWidth="1"/>
    <col min="13585" max="13585" width="17.42578125" style="419" customWidth="1"/>
    <col min="13586" max="13586" width="9.42578125" style="419" customWidth="1"/>
    <col min="13587" max="13587" width="16.7109375" style="419" customWidth="1"/>
    <col min="13588" max="13588" width="11" style="419" customWidth="1"/>
    <col min="13589" max="13824" width="9.140625" style="419"/>
    <col min="13825" max="13825" width="4" style="419" customWidth="1"/>
    <col min="13826" max="13826" width="4.28515625" style="419" customWidth="1"/>
    <col min="13827" max="13827" width="4" style="419" customWidth="1"/>
    <col min="13828" max="13828" width="3.5703125" style="419" customWidth="1"/>
    <col min="13829" max="13829" width="15.140625" style="419" customWidth="1"/>
    <col min="13830" max="13830" width="20.140625" style="419" customWidth="1"/>
    <col min="13831" max="13832" width="13.28515625" style="419" customWidth="1"/>
    <col min="13833" max="13833" width="18.42578125" style="419" customWidth="1"/>
    <col min="13834" max="13834" width="15.5703125" style="419" customWidth="1"/>
    <col min="13835" max="13835" width="17.28515625" style="419" customWidth="1"/>
    <col min="13836" max="13836" width="9.85546875" style="419" customWidth="1"/>
    <col min="13837" max="13837" width="18" style="419" customWidth="1"/>
    <col min="13838" max="13838" width="9.42578125" style="419" customWidth="1"/>
    <col min="13839" max="13839" width="20" style="419" customWidth="1"/>
    <col min="13840" max="13840" width="10" style="419" customWidth="1"/>
    <col min="13841" max="13841" width="17.42578125" style="419" customWidth="1"/>
    <col min="13842" max="13842" width="9.42578125" style="419" customWidth="1"/>
    <col min="13843" max="13843" width="16.7109375" style="419" customWidth="1"/>
    <col min="13844" max="13844" width="11" style="419" customWidth="1"/>
    <col min="13845" max="14080" width="9.140625" style="419"/>
    <col min="14081" max="14081" width="4" style="419" customWidth="1"/>
    <col min="14082" max="14082" width="4.28515625" style="419" customWidth="1"/>
    <col min="14083" max="14083" width="4" style="419" customWidth="1"/>
    <col min="14084" max="14084" width="3.5703125" style="419" customWidth="1"/>
    <col min="14085" max="14085" width="15.140625" style="419" customWidth="1"/>
    <col min="14086" max="14086" width="20.140625" style="419" customWidth="1"/>
    <col min="14087" max="14088" width="13.28515625" style="419" customWidth="1"/>
    <col min="14089" max="14089" width="18.42578125" style="419" customWidth="1"/>
    <col min="14090" max="14090" width="15.5703125" style="419" customWidth="1"/>
    <col min="14091" max="14091" width="17.28515625" style="419" customWidth="1"/>
    <col min="14092" max="14092" width="9.85546875" style="419" customWidth="1"/>
    <col min="14093" max="14093" width="18" style="419" customWidth="1"/>
    <col min="14094" max="14094" width="9.42578125" style="419" customWidth="1"/>
    <col min="14095" max="14095" width="20" style="419" customWidth="1"/>
    <col min="14096" max="14096" width="10" style="419" customWidth="1"/>
    <col min="14097" max="14097" width="17.42578125" style="419" customWidth="1"/>
    <col min="14098" max="14098" width="9.42578125" style="419" customWidth="1"/>
    <col min="14099" max="14099" width="16.7109375" style="419" customWidth="1"/>
    <col min="14100" max="14100" width="11" style="419" customWidth="1"/>
    <col min="14101" max="14336" width="9.140625" style="419"/>
    <col min="14337" max="14337" width="4" style="419" customWidth="1"/>
    <col min="14338" max="14338" width="4.28515625" style="419" customWidth="1"/>
    <col min="14339" max="14339" width="4" style="419" customWidth="1"/>
    <col min="14340" max="14340" width="3.5703125" style="419" customWidth="1"/>
    <col min="14341" max="14341" width="15.140625" style="419" customWidth="1"/>
    <col min="14342" max="14342" width="20.140625" style="419" customWidth="1"/>
    <col min="14343" max="14344" width="13.28515625" style="419" customWidth="1"/>
    <col min="14345" max="14345" width="18.42578125" style="419" customWidth="1"/>
    <col min="14346" max="14346" width="15.5703125" style="419" customWidth="1"/>
    <col min="14347" max="14347" width="17.28515625" style="419" customWidth="1"/>
    <col min="14348" max="14348" width="9.85546875" style="419" customWidth="1"/>
    <col min="14349" max="14349" width="18" style="419" customWidth="1"/>
    <col min="14350" max="14350" width="9.42578125" style="419" customWidth="1"/>
    <col min="14351" max="14351" width="20" style="419" customWidth="1"/>
    <col min="14352" max="14352" width="10" style="419" customWidth="1"/>
    <col min="14353" max="14353" width="17.42578125" style="419" customWidth="1"/>
    <col min="14354" max="14354" width="9.42578125" style="419" customWidth="1"/>
    <col min="14355" max="14355" width="16.7109375" style="419" customWidth="1"/>
    <col min="14356" max="14356" width="11" style="419" customWidth="1"/>
    <col min="14357" max="14592" width="9.140625" style="419"/>
    <col min="14593" max="14593" width="4" style="419" customWidth="1"/>
    <col min="14594" max="14594" width="4.28515625" style="419" customWidth="1"/>
    <col min="14595" max="14595" width="4" style="419" customWidth="1"/>
    <col min="14596" max="14596" width="3.5703125" style="419" customWidth="1"/>
    <col min="14597" max="14597" width="15.140625" style="419" customWidth="1"/>
    <col min="14598" max="14598" width="20.140625" style="419" customWidth="1"/>
    <col min="14599" max="14600" width="13.28515625" style="419" customWidth="1"/>
    <col min="14601" max="14601" width="18.42578125" style="419" customWidth="1"/>
    <col min="14602" max="14602" width="15.5703125" style="419" customWidth="1"/>
    <col min="14603" max="14603" width="17.28515625" style="419" customWidth="1"/>
    <col min="14604" max="14604" width="9.85546875" style="419" customWidth="1"/>
    <col min="14605" max="14605" width="18" style="419" customWidth="1"/>
    <col min="14606" max="14606" width="9.42578125" style="419" customWidth="1"/>
    <col min="14607" max="14607" width="20" style="419" customWidth="1"/>
    <col min="14608" max="14608" width="10" style="419" customWidth="1"/>
    <col min="14609" max="14609" width="17.42578125" style="419" customWidth="1"/>
    <col min="14610" max="14610" width="9.42578125" style="419" customWidth="1"/>
    <col min="14611" max="14611" width="16.7109375" style="419" customWidth="1"/>
    <col min="14612" max="14612" width="11" style="419" customWidth="1"/>
    <col min="14613" max="14848" width="9.140625" style="419"/>
    <col min="14849" max="14849" width="4" style="419" customWidth="1"/>
    <col min="14850" max="14850" width="4.28515625" style="419" customWidth="1"/>
    <col min="14851" max="14851" width="4" style="419" customWidth="1"/>
    <col min="14852" max="14852" width="3.5703125" style="419" customWidth="1"/>
    <col min="14853" max="14853" width="15.140625" style="419" customWidth="1"/>
    <col min="14854" max="14854" width="20.140625" style="419" customWidth="1"/>
    <col min="14855" max="14856" width="13.28515625" style="419" customWidth="1"/>
    <col min="14857" max="14857" width="18.42578125" style="419" customWidth="1"/>
    <col min="14858" max="14858" width="15.5703125" style="419" customWidth="1"/>
    <col min="14859" max="14859" width="17.28515625" style="419" customWidth="1"/>
    <col min="14860" max="14860" width="9.85546875" style="419" customWidth="1"/>
    <col min="14861" max="14861" width="18" style="419" customWidth="1"/>
    <col min="14862" max="14862" width="9.42578125" style="419" customWidth="1"/>
    <col min="14863" max="14863" width="20" style="419" customWidth="1"/>
    <col min="14864" max="14864" width="10" style="419" customWidth="1"/>
    <col min="14865" max="14865" width="17.42578125" style="419" customWidth="1"/>
    <col min="14866" max="14866" width="9.42578125" style="419" customWidth="1"/>
    <col min="14867" max="14867" width="16.7109375" style="419" customWidth="1"/>
    <col min="14868" max="14868" width="11" style="419" customWidth="1"/>
    <col min="14869" max="15104" width="9.140625" style="419"/>
    <col min="15105" max="15105" width="4" style="419" customWidth="1"/>
    <col min="15106" max="15106" width="4.28515625" style="419" customWidth="1"/>
    <col min="15107" max="15107" width="4" style="419" customWidth="1"/>
    <col min="15108" max="15108" width="3.5703125" style="419" customWidth="1"/>
    <col min="15109" max="15109" width="15.140625" style="419" customWidth="1"/>
    <col min="15110" max="15110" width="20.140625" style="419" customWidth="1"/>
    <col min="15111" max="15112" width="13.28515625" style="419" customWidth="1"/>
    <col min="15113" max="15113" width="18.42578125" style="419" customWidth="1"/>
    <col min="15114" max="15114" width="15.5703125" style="419" customWidth="1"/>
    <col min="15115" max="15115" width="17.28515625" style="419" customWidth="1"/>
    <col min="15116" max="15116" width="9.85546875" style="419" customWidth="1"/>
    <col min="15117" max="15117" width="18" style="419" customWidth="1"/>
    <col min="15118" max="15118" width="9.42578125" style="419" customWidth="1"/>
    <col min="15119" max="15119" width="20" style="419" customWidth="1"/>
    <col min="15120" max="15120" width="10" style="419" customWidth="1"/>
    <col min="15121" max="15121" width="17.42578125" style="419" customWidth="1"/>
    <col min="15122" max="15122" width="9.42578125" style="419" customWidth="1"/>
    <col min="15123" max="15123" width="16.7109375" style="419" customWidth="1"/>
    <col min="15124" max="15124" width="11" style="419" customWidth="1"/>
    <col min="15125" max="15360" width="9.140625" style="419"/>
    <col min="15361" max="15361" width="4" style="419" customWidth="1"/>
    <col min="15362" max="15362" width="4.28515625" style="419" customWidth="1"/>
    <col min="15363" max="15363" width="4" style="419" customWidth="1"/>
    <col min="15364" max="15364" width="3.5703125" style="419" customWidth="1"/>
    <col min="15365" max="15365" width="15.140625" style="419" customWidth="1"/>
    <col min="15366" max="15366" width="20.140625" style="419" customWidth="1"/>
    <col min="15367" max="15368" width="13.28515625" style="419" customWidth="1"/>
    <col min="15369" max="15369" width="18.42578125" style="419" customWidth="1"/>
    <col min="15370" max="15370" width="15.5703125" style="419" customWidth="1"/>
    <col min="15371" max="15371" width="17.28515625" style="419" customWidth="1"/>
    <col min="15372" max="15372" width="9.85546875" style="419" customWidth="1"/>
    <col min="15373" max="15373" width="18" style="419" customWidth="1"/>
    <col min="15374" max="15374" width="9.42578125" style="419" customWidth="1"/>
    <col min="15375" max="15375" width="20" style="419" customWidth="1"/>
    <col min="15376" max="15376" width="10" style="419" customWidth="1"/>
    <col min="15377" max="15377" width="17.42578125" style="419" customWidth="1"/>
    <col min="15378" max="15378" width="9.42578125" style="419" customWidth="1"/>
    <col min="15379" max="15379" width="16.7109375" style="419" customWidth="1"/>
    <col min="15380" max="15380" width="11" style="419" customWidth="1"/>
    <col min="15381" max="15616" width="9.140625" style="419"/>
    <col min="15617" max="15617" width="4" style="419" customWidth="1"/>
    <col min="15618" max="15618" width="4.28515625" style="419" customWidth="1"/>
    <col min="15619" max="15619" width="4" style="419" customWidth="1"/>
    <col min="15620" max="15620" width="3.5703125" style="419" customWidth="1"/>
    <col min="15621" max="15621" width="15.140625" style="419" customWidth="1"/>
    <col min="15622" max="15622" width="20.140625" style="419" customWidth="1"/>
    <col min="15623" max="15624" width="13.28515625" style="419" customWidth="1"/>
    <col min="15625" max="15625" width="18.42578125" style="419" customWidth="1"/>
    <col min="15626" max="15626" width="15.5703125" style="419" customWidth="1"/>
    <col min="15627" max="15627" width="17.28515625" style="419" customWidth="1"/>
    <col min="15628" max="15628" width="9.85546875" style="419" customWidth="1"/>
    <col min="15629" max="15629" width="18" style="419" customWidth="1"/>
    <col min="15630" max="15630" width="9.42578125" style="419" customWidth="1"/>
    <col min="15631" max="15631" width="20" style="419" customWidth="1"/>
    <col min="15632" max="15632" width="10" style="419" customWidth="1"/>
    <col min="15633" max="15633" width="17.42578125" style="419" customWidth="1"/>
    <col min="15634" max="15634" width="9.42578125" style="419" customWidth="1"/>
    <col min="15635" max="15635" width="16.7109375" style="419" customWidth="1"/>
    <col min="15636" max="15636" width="11" style="419" customWidth="1"/>
    <col min="15637" max="15872" width="9.140625" style="419"/>
    <col min="15873" max="15873" width="4" style="419" customWidth="1"/>
    <col min="15874" max="15874" width="4.28515625" style="419" customWidth="1"/>
    <col min="15875" max="15875" width="4" style="419" customWidth="1"/>
    <col min="15876" max="15876" width="3.5703125" style="419" customWidth="1"/>
    <col min="15877" max="15877" width="15.140625" style="419" customWidth="1"/>
    <col min="15878" max="15878" width="20.140625" style="419" customWidth="1"/>
    <col min="15879" max="15880" width="13.28515625" style="419" customWidth="1"/>
    <col min="15881" max="15881" width="18.42578125" style="419" customWidth="1"/>
    <col min="15882" max="15882" width="15.5703125" style="419" customWidth="1"/>
    <col min="15883" max="15883" width="17.28515625" style="419" customWidth="1"/>
    <col min="15884" max="15884" width="9.85546875" style="419" customWidth="1"/>
    <col min="15885" max="15885" width="18" style="419" customWidth="1"/>
    <col min="15886" max="15886" width="9.42578125" style="419" customWidth="1"/>
    <col min="15887" max="15887" width="20" style="419" customWidth="1"/>
    <col min="15888" max="15888" width="10" style="419" customWidth="1"/>
    <col min="15889" max="15889" width="17.42578125" style="419" customWidth="1"/>
    <col min="15890" max="15890" width="9.42578125" style="419" customWidth="1"/>
    <col min="15891" max="15891" width="16.7109375" style="419" customWidth="1"/>
    <col min="15892" max="15892" width="11" style="419" customWidth="1"/>
    <col min="15893" max="16128" width="9.140625" style="419"/>
    <col min="16129" max="16129" width="4" style="419" customWidth="1"/>
    <col min="16130" max="16130" width="4.28515625" style="419" customWidth="1"/>
    <col min="16131" max="16131" width="4" style="419" customWidth="1"/>
    <col min="16132" max="16132" width="3.5703125" style="419" customWidth="1"/>
    <col min="16133" max="16133" width="15.140625" style="419" customWidth="1"/>
    <col min="16134" max="16134" width="20.140625" style="419" customWidth="1"/>
    <col min="16135" max="16136" width="13.28515625" style="419" customWidth="1"/>
    <col min="16137" max="16137" width="18.42578125" style="419" customWidth="1"/>
    <col min="16138" max="16138" width="15.5703125" style="419" customWidth="1"/>
    <col min="16139" max="16139" width="17.28515625" style="419" customWidth="1"/>
    <col min="16140" max="16140" width="9.85546875" style="419" customWidth="1"/>
    <col min="16141" max="16141" width="18" style="419" customWidth="1"/>
    <col min="16142" max="16142" width="9.42578125" style="419" customWidth="1"/>
    <col min="16143" max="16143" width="20" style="419" customWidth="1"/>
    <col min="16144" max="16144" width="10" style="419" customWidth="1"/>
    <col min="16145" max="16145" width="17.42578125" style="419" customWidth="1"/>
    <col min="16146" max="16146" width="9.42578125" style="419" customWidth="1"/>
    <col min="16147" max="16147" width="16.7109375" style="419" customWidth="1"/>
    <col min="16148" max="16148" width="11" style="419" customWidth="1"/>
    <col min="16149" max="16384" width="9.140625" style="419"/>
  </cols>
  <sheetData>
    <row r="1" spans="1:20" x14ac:dyDescent="0.25">
      <c r="A1" s="1446" t="s">
        <v>1885</v>
      </c>
      <c r="B1" s="1446"/>
      <c r="C1" s="1446"/>
      <c r="D1" s="1446"/>
      <c r="E1" s="1446"/>
      <c r="F1" s="1446"/>
      <c r="G1" s="1446"/>
      <c r="H1" s="1446"/>
      <c r="I1" s="1446"/>
      <c r="J1" s="1446"/>
      <c r="K1" s="1446"/>
      <c r="L1" s="1446"/>
      <c r="M1" s="1446"/>
      <c r="N1" s="1446"/>
      <c r="O1" s="1446"/>
      <c r="P1" s="1446"/>
      <c r="Q1" s="1446"/>
      <c r="R1" s="1446"/>
      <c r="S1" s="1446"/>
      <c r="T1" s="1446"/>
    </row>
    <row r="2" spans="1:20" ht="23.25" customHeight="1" x14ac:dyDescent="0.25">
      <c r="A2" s="1446" t="s">
        <v>1886</v>
      </c>
      <c r="B2" s="1446"/>
      <c r="C2" s="1446"/>
      <c r="D2" s="1446"/>
      <c r="E2" s="1446"/>
      <c r="F2" s="1446"/>
      <c r="G2" s="1446"/>
      <c r="H2" s="1446"/>
      <c r="I2" s="1446"/>
      <c r="J2" s="1446"/>
      <c r="K2" s="1446"/>
      <c r="L2" s="1446"/>
      <c r="M2" s="1446"/>
      <c r="N2" s="1446"/>
      <c r="O2" s="1446"/>
      <c r="P2" s="1446"/>
      <c r="Q2" s="1446"/>
      <c r="R2" s="1446"/>
      <c r="S2" s="1446"/>
      <c r="T2" s="1446"/>
    </row>
    <row r="3" spans="1:20" ht="23.25" customHeight="1" x14ac:dyDescent="0.25">
      <c r="A3" s="1446" t="s">
        <v>1791</v>
      </c>
      <c r="B3" s="1446"/>
      <c r="C3" s="1446"/>
      <c r="D3" s="1446"/>
      <c r="E3" s="1446"/>
      <c r="F3" s="1446"/>
      <c r="G3" s="1446"/>
      <c r="H3" s="1446"/>
      <c r="I3" s="1446"/>
      <c r="J3" s="1446"/>
      <c r="K3" s="1446"/>
      <c r="L3" s="1446"/>
      <c r="M3" s="1446"/>
      <c r="N3" s="1446"/>
      <c r="O3" s="1446"/>
      <c r="P3" s="1446"/>
      <c r="Q3" s="1446"/>
      <c r="R3" s="1446"/>
      <c r="S3" s="1446"/>
      <c r="T3" s="1446"/>
    </row>
    <row r="4" spans="1:20" ht="23.25" customHeight="1" x14ac:dyDescent="0.25">
      <c r="A4" s="420"/>
      <c r="B4" s="420"/>
      <c r="C4" s="420"/>
      <c r="D4" s="420"/>
      <c r="E4" s="421"/>
      <c r="F4" s="422"/>
      <c r="G4" s="423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1447" t="s">
        <v>1887</v>
      </c>
      <c r="S4" s="1447"/>
      <c r="T4" s="1447"/>
    </row>
    <row r="5" spans="1:20" ht="15" customHeight="1" x14ac:dyDescent="0.25">
      <c r="A5" s="1448" t="s">
        <v>1888</v>
      </c>
      <c r="B5" s="1449"/>
      <c r="C5" s="1449"/>
      <c r="D5" s="1450"/>
      <c r="E5" s="1451" t="s">
        <v>1889</v>
      </c>
      <c r="F5" s="1451" t="s">
        <v>9</v>
      </c>
      <c r="G5" s="1454" t="s">
        <v>1890</v>
      </c>
      <c r="H5" s="1457" t="s">
        <v>1891</v>
      </c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  <c r="T5" s="1458" t="s">
        <v>8</v>
      </c>
    </row>
    <row r="6" spans="1:20" ht="30.75" customHeight="1" x14ac:dyDescent="0.25">
      <c r="A6" s="1462" t="s">
        <v>1892</v>
      </c>
      <c r="B6" s="1464" t="s">
        <v>1893</v>
      </c>
      <c r="C6" s="1464" t="s">
        <v>1894</v>
      </c>
      <c r="D6" s="1464" t="s">
        <v>1721</v>
      </c>
      <c r="E6" s="1452"/>
      <c r="F6" s="1452"/>
      <c r="G6" s="1455"/>
      <c r="H6" s="1466" t="s">
        <v>1895</v>
      </c>
      <c r="I6" s="1467"/>
      <c r="J6" s="1466" t="s">
        <v>1896</v>
      </c>
      <c r="K6" s="1467"/>
      <c r="L6" s="1466" t="s">
        <v>1897</v>
      </c>
      <c r="M6" s="1467"/>
      <c r="N6" s="1466" t="s">
        <v>1898</v>
      </c>
      <c r="O6" s="1467"/>
      <c r="P6" s="1466" t="s">
        <v>1899</v>
      </c>
      <c r="Q6" s="1467"/>
      <c r="R6" s="1457" t="s">
        <v>1900</v>
      </c>
      <c r="S6" s="1457"/>
      <c r="T6" s="1458"/>
    </row>
    <row r="7" spans="1:20" ht="22.5" customHeight="1" x14ac:dyDescent="0.25">
      <c r="A7" s="1463"/>
      <c r="B7" s="1465"/>
      <c r="C7" s="1465"/>
      <c r="D7" s="1465"/>
      <c r="E7" s="1453"/>
      <c r="F7" s="1453"/>
      <c r="G7" s="1456"/>
      <c r="H7" s="425" t="s">
        <v>1901</v>
      </c>
      <c r="I7" s="426" t="s">
        <v>1723</v>
      </c>
      <c r="J7" s="425" t="s">
        <v>1901</v>
      </c>
      <c r="K7" s="426" t="s">
        <v>1723</v>
      </c>
      <c r="L7" s="425" t="s">
        <v>1901</v>
      </c>
      <c r="M7" s="426" t="s">
        <v>1723</v>
      </c>
      <c r="N7" s="425" t="s">
        <v>1901</v>
      </c>
      <c r="O7" s="426" t="s">
        <v>1723</v>
      </c>
      <c r="P7" s="425"/>
      <c r="Q7" s="426" t="s">
        <v>1723</v>
      </c>
      <c r="R7" s="425" t="s">
        <v>1901</v>
      </c>
      <c r="S7" s="425" t="s">
        <v>1723</v>
      </c>
      <c r="T7" s="1458"/>
    </row>
    <row r="8" spans="1:20" ht="19.5" customHeight="1" thickBot="1" x14ac:dyDescent="0.3">
      <c r="A8" s="1468" t="s">
        <v>1259</v>
      </c>
      <c r="B8" s="1469"/>
      <c r="C8" s="1469"/>
      <c r="D8" s="1470"/>
      <c r="E8" s="427" t="s">
        <v>1260</v>
      </c>
      <c r="F8" s="428" t="s">
        <v>1261</v>
      </c>
      <c r="G8" s="429" t="s">
        <v>1262</v>
      </c>
      <c r="H8" s="430" t="s">
        <v>1263</v>
      </c>
      <c r="I8" s="431">
        <v>-6</v>
      </c>
      <c r="J8" s="430" t="s">
        <v>1265</v>
      </c>
      <c r="K8" s="431">
        <v>-8</v>
      </c>
      <c r="L8" s="430" t="s">
        <v>1267</v>
      </c>
      <c r="M8" s="431">
        <v>-10</v>
      </c>
      <c r="N8" s="430" t="s">
        <v>1902</v>
      </c>
      <c r="O8" s="431">
        <v>-12</v>
      </c>
      <c r="P8" s="430" t="s">
        <v>1903</v>
      </c>
      <c r="Q8" s="431">
        <v>-14</v>
      </c>
      <c r="R8" s="430" t="s">
        <v>1904</v>
      </c>
      <c r="S8" s="430" t="s">
        <v>1905</v>
      </c>
      <c r="T8" s="429" t="s">
        <v>1906</v>
      </c>
    </row>
    <row r="9" spans="1:20" ht="27" customHeight="1" thickTop="1" x14ac:dyDescent="0.25">
      <c r="A9" s="1459" t="s">
        <v>1907</v>
      </c>
      <c r="B9" s="1460"/>
      <c r="C9" s="1460"/>
      <c r="D9" s="1460"/>
      <c r="E9" s="1460"/>
      <c r="F9" s="1460"/>
      <c r="G9" s="1460"/>
      <c r="H9" s="1460"/>
      <c r="I9" s="1460"/>
      <c r="J9" s="1460"/>
      <c r="K9" s="1460"/>
      <c r="L9" s="1460"/>
      <c r="M9" s="1460"/>
      <c r="N9" s="1460"/>
      <c r="O9" s="1460"/>
      <c r="P9" s="1460"/>
      <c r="Q9" s="1460"/>
      <c r="R9" s="1460"/>
      <c r="S9" s="1460"/>
      <c r="T9" s="1461"/>
    </row>
    <row r="10" spans="1:20" s="436" customFormat="1" ht="24.75" customHeight="1" x14ac:dyDescent="0.25">
      <c r="A10" s="1474" t="s">
        <v>106</v>
      </c>
      <c r="B10" s="1475"/>
      <c r="C10" s="1475"/>
      <c r="D10" s="1475"/>
      <c r="E10" s="1475"/>
      <c r="F10" s="1476"/>
      <c r="G10" s="432"/>
      <c r="H10" s="433"/>
      <c r="I10" s="434"/>
      <c r="J10" s="433"/>
      <c r="K10" s="434"/>
      <c r="L10" s="433"/>
      <c r="M10" s="434"/>
      <c r="N10" s="433"/>
      <c r="O10" s="434"/>
      <c r="P10" s="433"/>
      <c r="Q10" s="434"/>
      <c r="R10" s="433"/>
      <c r="S10" s="435"/>
      <c r="T10" s="432"/>
    </row>
    <row r="11" spans="1:20" s="1272" customFormat="1" ht="24.75" customHeight="1" x14ac:dyDescent="0.25">
      <c r="A11" s="1266"/>
      <c r="B11" s="1267"/>
      <c r="C11" s="1267"/>
      <c r="D11" s="1267"/>
      <c r="E11" s="1267" t="s">
        <v>2572</v>
      </c>
      <c r="F11" s="1267"/>
      <c r="G11" s="1268"/>
      <c r="H11" s="1269"/>
      <c r="I11" s="1270"/>
      <c r="J11" s="1269"/>
      <c r="K11" s="1270"/>
      <c r="L11" s="1269"/>
      <c r="M11" s="1270"/>
      <c r="N11" s="1269"/>
      <c r="O11" s="1270"/>
      <c r="P11" s="1269"/>
      <c r="Q11" s="1270"/>
      <c r="R11" s="1269"/>
      <c r="S11" s="1271"/>
      <c r="T11" s="1268"/>
    </row>
    <row r="12" spans="1:20" s="1272" customFormat="1" ht="35.25" customHeight="1" x14ac:dyDescent="0.25">
      <c r="A12" s="1266"/>
      <c r="B12" s="1267"/>
      <c r="C12" s="1267"/>
      <c r="D12" s="1267"/>
      <c r="E12" s="1267"/>
      <c r="F12" s="1267"/>
      <c r="G12" s="1268"/>
      <c r="H12" s="1269"/>
      <c r="I12" s="1270"/>
      <c r="J12" s="1269"/>
      <c r="K12" s="1270"/>
      <c r="L12" s="1269"/>
      <c r="M12" s="1270"/>
      <c r="N12" s="1269"/>
      <c r="O12" s="1270"/>
      <c r="P12" s="1269"/>
      <c r="Q12" s="1270"/>
      <c r="R12" s="1269"/>
      <c r="S12" s="1271"/>
      <c r="T12" s="1268" t="s">
        <v>2571</v>
      </c>
    </row>
    <row r="13" spans="1:20" s="446" customFormat="1" ht="108.75" customHeight="1" x14ac:dyDescent="0.25">
      <c r="A13" s="437" t="s">
        <v>1908</v>
      </c>
      <c r="B13" s="437" t="s">
        <v>1909</v>
      </c>
      <c r="C13" s="438">
        <v>15</v>
      </c>
      <c r="D13" s="439"/>
      <c r="E13" s="440" t="s">
        <v>105</v>
      </c>
      <c r="F13" s="441" t="s">
        <v>1910</v>
      </c>
      <c r="G13" s="442">
        <v>0.46</v>
      </c>
      <c r="H13" s="443">
        <v>56.48</v>
      </c>
      <c r="I13" s="444">
        <v>108954748</v>
      </c>
      <c r="J13" s="443">
        <v>66.48</v>
      </c>
      <c r="K13" s="444">
        <v>109250000</v>
      </c>
      <c r="L13" s="443">
        <v>76.48</v>
      </c>
      <c r="M13" s="444">
        <v>111310000</v>
      </c>
      <c r="N13" s="443">
        <v>88.48</v>
      </c>
      <c r="O13" s="444">
        <v>113350000</v>
      </c>
      <c r="P13" s="443">
        <v>99.48</v>
      </c>
      <c r="Q13" s="444">
        <v>116450000</v>
      </c>
      <c r="R13" s="443">
        <v>99.48</v>
      </c>
      <c r="S13" s="444">
        <v>559314748</v>
      </c>
      <c r="T13" s="445" t="s">
        <v>107</v>
      </c>
    </row>
    <row r="14" spans="1:20" s="446" customFormat="1" ht="71.25" customHeight="1" x14ac:dyDescent="0.25">
      <c r="A14" s="437" t="s">
        <v>1908</v>
      </c>
      <c r="B14" s="437" t="s">
        <v>1909</v>
      </c>
      <c r="C14" s="438">
        <v>18</v>
      </c>
      <c r="D14" s="439"/>
      <c r="E14" s="447" t="s">
        <v>1911</v>
      </c>
      <c r="F14" s="441" t="s">
        <v>1912</v>
      </c>
      <c r="G14" s="448">
        <v>0.4</v>
      </c>
      <c r="H14" s="443">
        <v>42</v>
      </c>
      <c r="I14" s="444">
        <v>4300329</v>
      </c>
      <c r="J14" s="443">
        <v>52</v>
      </c>
      <c r="K14" s="444">
        <v>4450000</v>
      </c>
      <c r="L14" s="443">
        <v>62</v>
      </c>
      <c r="M14" s="444">
        <v>4530000</v>
      </c>
      <c r="N14" s="443">
        <v>67</v>
      </c>
      <c r="O14" s="444">
        <v>4590000</v>
      </c>
      <c r="P14" s="443">
        <v>79</v>
      </c>
      <c r="Q14" s="444">
        <v>4630000</v>
      </c>
      <c r="R14" s="443">
        <v>79</v>
      </c>
      <c r="S14" s="449">
        <v>22500329</v>
      </c>
      <c r="T14" s="445" t="s">
        <v>107</v>
      </c>
    </row>
    <row r="15" spans="1:20" s="446" customFormat="1" ht="76.5" customHeight="1" x14ac:dyDescent="0.25">
      <c r="A15" s="437" t="s">
        <v>1908</v>
      </c>
      <c r="B15" s="437" t="s">
        <v>1909</v>
      </c>
      <c r="C15" s="438">
        <v>20</v>
      </c>
      <c r="D15" s="439"/>
      <c r="E15" s="447" t="s">
        <v>1913</v>
      </c>
      <c r="F15" s="441" t="s">
        <v>1912</v>
      </c>
      <c r="G15" s="450" t="s">
        <v>217</v>
      </c>
      <c r="H15" s="451" t="s">
        <v>217</v>
      </c>
      <c r="I15" s="451" t="s">
        <v>217</v>
      </c>
      <c r="J15" s="451" t="s">
        <v>217</v>
      </c>
      <c r="K15" s="451" t="s">
        <v>217</v>
      </c>
      <c r="L15" s="443">
        <v>15</v>
      </c>
      <c r="M15" s="444">
        <v>140000</v>
      </c>
      <c r="N15" s="443">
        <v>20</v>
      </c>
      <c r="O15" s="444">
        <v>160000</v>
      </c>
      <c r="P15" s="443">
        <v>25</v>
      </c>
      <c r="Q15" s="444">
        <v>170000</v>
      </c>
      <c r="R15" s="443">
        <v>30</v>
      </c>
      <c r="S15" s="444">
        <v>470000</v>
      </c>
      <c r="T15" s="445" t="s">
        <v>107</v>
      </c>
    </row>
    <row r="16" spans="1:20" s="446" customFormat="1" ht="76.5" customHeight="1" x14ac:dyDescent="0.25">
      <c r="A16" s="437" t="s">
        <v>1908</v>
      </c>
      <c r="B16" s="437" t="s">
        <v>1909</v>
      </c>
      <c r="C16" s="438">
        <v>22</v>
      </c>
      <c r="D16" s="439"/>
      <c r="E16" s="447" t="s">
        <v>1914</v>
      </c>
      <c r="F16" s="441" t="s">
        <v>1912</v>
      </c>
      <c r="G16" s="448">
        <v>0.45</v>
      </c>
      <c r="H16" s="451" t="s">
        <v>217</v>
      </c>
      <c r="I16" s="451" t="s">
        <v>217</v>
      </c>
      <c r="J16" s="444">
        <v>30</v>
      </c>
      <c r="K16" s="444">
        <v>200000</v>
      </c>
      <c r="L16" s="444">
        <v>30</v>
      </c>
      <c r="M16" s="452">
        <v>210000</v>
      </c>
      <c r="N16" s="451" t="s">
        <v>217</v>
      </c>
      <c r="O16" s="451" t="s">
        <v>217</v>
      </c>
      <c r="P16" s="443">
        <v>100</v>
      </c>
      <c r="Q16" s="444">
        <v>350000</v>
      </c>
      <c r="R16" s="443">
        <v>100</v>
      </c>
      <c r="S16" s="444">
        <v>760000</v>
      </c>
      <c r="T16" s="445" t="s">
        <v>107</v>
      </c>
    </row>
    <row r="17" spans="1:20" s="446" customFormat="1" ht="71.25" customHeight="1" x14ac:dyDescent="0.25">
      <c r="A17" s="437" t="s">
        <v>1908</v>
      </c>
      <c r="B17" s="437" t="s">
        <v>1909</v>
      </c>
      <c r="C17" s="438">
        <v>23</v>
      </c>
      <c r="D17" s="439"/>
      <c r="E17" s="447" t="s">
        <v>117</v>
      </c>
      <c r="F17" s="441" t="s">
        <v>1912</v>
      </c>
      <c r="G17" s="453" t="s">
        <v>217</v>
      </c>
      <c r="H17" s="451" t="s">
        <v>217</v>
      </c>
      <c r="I17" s="451" t="s">
        <v>217</v>
      </c>
      <c r="J17" s="451" t="s">
        <v>217</v>
      </c>
      <c r="K17" s="444">
        <v>0</v>
      </c>
      <c r="L17" s="443">
        <v>35</v>
      </c>
      <c r="M17" s="444">
        <v>1700000</v>
      </c>
      <c r="N17" s="443">
        <v>50</v>
      </c>
      <c r="O17" s="444">
        <v>3100000</v>
      </c>
      <c r="P17" s="443">
        <v>52</v>
      </c>
      <c r="Q17" s="444">
        <v>150000</v>
      </c>
      <c r="R17" s="443">
        <v>60</v>
      </c>
      <c r="S17" s="444">
        <v>4950000</v>
      </c>
      <c r="T17" s="445" t="s">
        <v>107</v>
      </c>
    </row>
    <row r="18" spans="1:20" s="463" customFormat="1" ht="85.5" customHeight="1" x14ac:dyDescent="0.25">
      <c r="A18" s="454" t="s">
        <v>1915</v>
      </c>
      <c r="B18" s="454" t="s">
        <v>1909</v>
      </c>
      <c r="C18" s="455">
        <v>20</v>
      </c>
      <c r="D18" s="456"/>
      <c r="E18" s="457" t="s">
        <v>1916</v>
      </c>
      <c r="F18" s="458" t="s">
        <v>1917</v>
      </c>
      <c r="G18" s="459">
        <v>1</v>
      </c>
      <c r="H18" s="460">
        <v>100</v>
      </c>
      <c r="I18" s="461">
        <v>827995</v>
      </c>
      <c r="J18" s="460">
        <v>100</v>
      </c>
      <c r="K18" s="461">
        <v>786000</v>
      </c>
      <c r="L18" s="460">
        <v>100</v>
      </c>
      <c r="M18" s="461">
        <v>837000</v>
      </c>
      <c r="N18" s="460">
        <v>100</v>
      </c>
      <c r="O18" s="461">
        <v>789000</v>
      </c>
      <c r="P18" s="460">
        <v>100</v>
      </c>
      <c r="Q18" s="461">
        <v>850000</v>
      </c>
      <c r="R18" s="460">
        <v>100</v>
      </c>
      <c r="S18" s="461">
        <v>4089995</v>
      </c>
      <c r="T18" s="462" t="s">
        <v>107</v>
      </c>
    </row>
    <row r="19" spans="1:20" ht="28.5" customHeight="1" x14ac:dyDescent="0.25">
      <c r="A19" s="464" t="s">
        <v>1918</v>
      </c>
      <c r="B19" s="465"/>
      <c r="C19" s="465"/>
      <c r="D19" s="465"/>
      <c r="E19" s="466"/>
      <c r="F19" s="467"/>
      <c r="G19" s="467"/>
      <c r="H19" s="468"/>
      <c r="I19" s="469"/>
      <c r="J19" s="468"/>
      <c r="K19" s="469"/>
      <c r="L19" s="468"/>
      <c r="M19" s="469"/>
      <c r="N19" s="468"/>
      <c r="O19" s="469"/>
      <c r="P19" s="468"/>
      <c r="Q19" s="469"/>
      <c r="R19" s="468"/>
      <c r="S19" s="469"/>
      <c r="T19" s="467"/>
    </row>
    <row r="20" spans="1:20" s="471" customFormat="1" ht="102" customHeight="1" x14ac:dyDescent="0.25">
      <c r="A20" s="437" t="s">
        <v>1919</v>
      </c>
      <c r="B20" s="437" t="s">
        <v>1920</v>
      </c>
      <c r="C20" s="437">
        <v>15</v>
      </c>
      <c r="D20" s="437"/>
      <c r="E20" s="447" t="s">
        <v>1921</v>
      </c>
      <c r="F20" s="447" t="s">
        <v>1922</v>
      </c>
      <c r="G20" s="445" t="s">
        <v>1923</v>
      </c>
      <c r="H20" s="443" t="s">
        <v>1924</v>
      </c>
      <c r="I20" s="470">
        <v>488720</v>
      </c>
      <c r="J20" s="443" t="s">
        <v>1925</v>
      </c>
      <c r="K20" s="470">
        <v>12200000</v>
      </c>
      <c r="L20" s="443" t="s">
        <v>1926</v>
      </c>
      <c r="M20" s="470">
        <v>4000000</v>
      </c>
      <c r="N20" s="443" t="s">
        <v>1927</v>
      </c>
      <c r="O20" s="470">
        <v>2000000</v>
      </c>
      <c r="P20" s="444">
        <v>0</v>
      </c>
      <c r="Q20" s="451" t="s">
        <v>217</v>
      </c>
      <c r="R20" s="444">
        <v>0</v>
      </c>
      <c r="S20" s="451" t="s">
        <v>217</v>
      </c>
      <c r="T20" s="445" t="s">
        <v>144</v>
      </c>
    </row>
    <row r="21" spans="1:20" s="474" customFormat="1" ht="150" customHeight="1" x14ac:dyDescent="0.25">
      <c r="A21" s="454" t="s">
        <v>1919</v>
      </c>
      <c r="B21" s="454" t="s">
        <v>1920</v>
      </c>
      <c r="C21" s="454">
        <v>6</v>
      </c>
      <c r="D21" s="454"/>
      <c r="E21" s="457" t="s">
        <v>1928</v>
      </c>
      <c r="F21" s="457" t="s">
        <v>1929</v>
      </c>
      <c r="G21" s="462" t="s">
        <v>1930</v>
      </c>
      <c r="H21" s="472" t="s">
        <v>1931</v>
      </c>
      <c r="I21" s="473">
        <f>677632350/1000</f>
        <v>677632.35</v>
      </c>
      <c r="J21" s="460" t="s">
        <v>1932</v>
      </c>
      <c r="K21" s="473">
        <v>1715000</v>
      </c>
      <c r="L21" s="460" t="s">
        <v>1933</v>
      </c>
      <c r="M21" s="473">
        <v>1415000</v>
      </c>
      <c r="N21" s="460" t="s">
        <v>1934</v>
      </c>
      <c r="O21" s="473">
        <v>1355000</v>
      </c>
      <c r="P21" s="460" t="s">
        <v>1935</v>
      </c>
      <c r="Q21" s="473">
        <v>1355000</v>
      </c>
      <c r="R21" s="460" t="s">
        <v>1935</v>
      </c>
      <c r="S21" s="473">
        <v>1355000</v>
      </c>
      <c r="T21" s="462" t="s">
        <v>144</v>
      </c>
    </row>
    <row r="22" spans="1:20" s="474" customFormat="1" ht="97.5" customHeight="1" x14ac:dyDescent="0.25">
      <c r="A22" s="454" t="s">
        <v>1919</v>
      </c>
      <c r="B22" s="454" t="s">
        <v>1920</v>
      </c>
      <c r="C22" s="454">
        <v>20</v>
      </c>
      <c r="D22" s="454"/>
      <c r="E22" s="457" t="s">
        <v>1936</v>
      </c>
      <c r="F22" s="457" t="s">
        <v>1937</v>
      </c>
      <c r="G22" s="475" t="s">
        <v>217</v>
      </c>
      <c r="H22" s="460" t="s">
        <v>1938</v>
      </c>
      <c r="I22" s="476">
        <v>294000</v>
      </c>
      <c r="J22" s="460" t="s">
        <v>1939</v>
      </c>
      <c r="K22" s="476">
        <v>1200000</v>
      </c>
      <c r="L22" s="460" t="s">
        <v>1940</v>
      </c>
      <c r="M22" s="476">
        <v>3000000</v>
      </c>
      <c r="N22" s="460" t="s">
        <v>1941</v>
      </c>
      <c r="O22" s="476">
        <v>1500000</v>
      </c>
      <c r="P22" s="477" t="s">
        <v>217</v>
      </c>
      <c r="Q22" s="478" t="s">
        <v>217</v>
      </c>
      <c r="R22" s="477" t="s">
        <v>217</v>
      </c>
      <c r="S22" s="478" t="s">
        <v>217</v>
      </c>
      <c r="T22" s="462" t="s">
        <v>144</v>
      </c>
    </row>
    <row r="23" spans="1:20" s="471" customFormat="1" ht="246" customHeight="1" x14ac:dyDescent="0.25">
      <c r="A23" s="479" t="s">
        <v>1919</v>
      </c>
      <c r="B23" s="479" t="s">
        <v>1920</v>
      </c>
      <c r="C23" s="479">
        <v>17</v>
      </c>
      <c r="D23" s="479"/>
      <c r="E23" s="447" t="s">
        <v>142</v>
      </c>
      <c r="F23" s="440" t="s">
        <v>1942</v>
      </c>
      <c r="G23" s="445" t="s">
        <v>1943</v>
      </c>
      <c r="H23" s="443" t="s">
        <v>1944</v>
      </c>
      <c r="I23" s="480">
        <v>131000</v>
      </c>
      <c r="J23" s="443" t="s">
        <v>1945</v>
      </c>
      <c r="K23" s="480">
        <v>183000</v>
      </c>
      <c r="L23" s="443" t="s">
        <v>1945</v>
      </c>
      <c r="M23" s="480">
        <v>185000</v>
      </c>
      <c r="N23" s="443" t="s">
        <v>1946</v>
      </c>
      <c r="O23" s="480">
        <v>247000</v>
      </c>
      <c r="P23" s="443" t="s">
        <v>1947</v>
      </c>
      <c r="Q23" s="480">
        <v>254000</v>
      </c>
      <c r="R23" s="443" t="s">
        <v>1947</v>
      </c>
      <c r="S23" s="480">
        <v>254000</v>
      </c>
      <c r="T23" s="445" t="s">
        <v>144</v>
      </c>
    </row>
    <row r="24" spans="1:20" ht="27" customHeight="1" x14ac:dyDescent="0.25">
      <c r="A24" s="481" t="s">
        <v>1948</v>
      </c>
      <c r="B24" s="481"/>
      <c r="C24" s="481"/>
      <c r="D24" s="482"/>
      <c r="E24" s="483"/>
      <c r="F24" s="484"/>
      <c r="G24" s="484"/>
      <c r="H24" s="485"/>
      <c r="I24" s="486"/>
      <c r="J24" s="485"/>
      <c r="K24" s="486"/>
      <c r="L24" s="485"/>
      <c r="M24" s="486"/>
      <c r="N24" s="485"/>
      <c r="O24" s="486"/>
      <c r="P24" s="485"/>
      <c r="Q24" s="486"/>
      <c r="R24" s="485"/>
      <c r="S24" s="486"/>
      <c r="T24" s="484"/>
    </row>
    <row r="25" spans="1:20" s="446" customFormat="1" ht="134.25" customHeight="1" x14ac:dyDescent="0.25">
      <c r="A25" s="437">
        <v>25</v>
      </c>
      <c r="B25" s="437" t="s">
        <v>1920</v>
      </c>
      <c r="C25" s="437">
        <v>15</v>
      </c>
      <c r="D25" s="437"/>
      <c r="E25" s="447" t="s">
        <v>1949</v>
      </c>
      <c r="F25" s="447" t="s">
        <v>1950</v>
      </c>
      <c r="G25" s="445" t="s">
        <v>1951</v>
      </c>
      <c r="H25" s="443" t="s">
        <v>1952</v>
      </c>
      <c r="I25" s="480">
        <v>302000</v>
      </c>
      <c r="J25" s="443" t="s">
        <v>1953</v>
      </c>
      <c r="K25" s="480">
        <v>820000</v>
      </c>
      <c r="L25" s="443" t="s">
        <v>1954</v>
      </c>
      <c r="M25" s="480">
        <v>895000</v>
      </c>
      <c r="N25" s="443" t="s">
        <v>1955</v>
      </c>
      <c r="O25" s="480">
        <v>974500</v>
      </c>
      <c r="P25" s="443" t="s">
        <v>1956</v>
      </c>
      <c r="Q25" s="480">
        <v>1039000</v>
      </c>
      <c r="R25" s="443" t="s">
        <v>1957</v>
      </c>
      <c r="S25" s="480">
        <v>1129000</v>
      </c>
      <c r="T25" s="445" t="s">
        <v>144</v>
      </c>
    </row>
    <row r="26" spans="1:20" s="446" customFormat="1" ht="96" customHeight="1" x14ac:dyDescent="0.25">
      <c r="A26" s="437">
        <v>25</v>
      </c>
      <c r="B26" s="437" t="s">
        <v>1920</v>
      </c>
      <c r="C26" s="437">
        <v>6</v>
      </c>
      <c r="D26" s="437"/>
      <c r="E26" s="447" t="s">
        <v>1958</v>
      </c>
      <c r="F26" s="447" t="s">
        <v>1959</v>
      </c>
      <c r="G26" s="487" t="s">
        <v>217</v>
      </c>
      <c r="H26" s="488" t="s">
        <v>217</v>
      </c>
      <c r="I26" s="444">
        <v>0</v>
      </c>
      <c r="J26" s="443" t="s">
        <v>1960</v>
      </c>
      <c r="K26" s="480">
        <v>1070000</v>
      </c>
      <c r="L26" s="443" t="s">
        <v>1961</v>
      </c>
      <c r="M26" s="480">
        <v>240000</v>
      </c>
      <c r="N26" s="488" t="s">
        <v>217</v>
      </c>
      <c r="O26" s="451" t="s">
        <v>217</v>
      </c>
      <c r="P26" s="488" t="s">
        <v>217</v>
      </c>
      <c r="Q26" s="451" t="s">
        <v>217</v>
      </c>
      <c r="R26" s="488" t="s">
        <v>217</v>
      </c>
      <c r="S26" s="451" t="s">
        <v>217</v>
      </c>
      <c r="T26" s="445" t="s">
        <v>144</v>
      </c>
    </row>
    <row r="27" spans="1:20" s="446" customFormat="1" ht="206.25" customHeight="1" x14ac:dyDescent="0.25">
      <c r="A27" s="437">
        <v>25</v>
      </c>
      <c r="B27" s="437" t="s">
        <v>1920</v>
      </c>
      <c r="C27" s="437">
        <v>6</v>
      </c>
      <c r="D27" s="437"/>
      <c r="E27" s="447" t="s">
        <v>1962</v>
      </c>
      <c r="F27" s="447" t="s">
        <v>1963</v>
      </c>
      <c r="G27" s="445" t="s">
        <v>1964</v>
      </c>
      <c r="H27" s="443" t="s">
        <v>1965</v>
      </c>
      <c r="I27" s="480">
        <f>138580050/1000</f>
        <v>138580.04999999999</v>
      </c>
      <c r="J27" s="443" t="s">
        <v>1966</v>
      </c>
      <c r="K27" s="480">
        <v>260000</v>
      </c>
      <c r="L27" s="443" t="s">
        <v>1967</v>
      </c>
      <c r="M27" s="480">
        <v>306000</v>
      </c>
      <c r="N27" s="443" t="s">
        <v>1967</v>
      </c>
      <c r="O27" s="480">
        <v>329400</v>
      </c>
      <c r="P27" s="443" t="s">
        <v>1967</v>
      </c>
      <c r="Q27" s="480">
        <v>249340</v>
      </c>
      <c r="R27" s="443" t="s">
        <v>1967</v>
      </c>
      <c r="S27" s="480">
        <v>375200</v>
      </c>
      <c r="T27" s="447" t="s">
        <v>144</v>
      </c>
    </row>
    <row r="28" spans="1:20" ht="28.5" customHeight="1" x14ac:dyDescent="0.25">
      <c r="A28" s="1477" t="s">
        <v>1839</v>
      </c>
      <c r="B28" s="1478"/>
      <c r="C28" s="1478"/>
      <c r="D28" s="1478"/>
      <c r="E28" s="1479"/>
      <c r="F28" s="489"/>
      <c r="G28" s="489"/>
      <c r="H28" s="490"/>
      <c r="I28" s="491"/>
      <c r="J28" s="490"/>
      <c r="K28" s="491"/>
      <c r="L28" s="490"/>
      <c r="M28" s="491"/>
      <c r="N28" s="490"/>
      <c r="O28" s="491"/>
      <c r="P28" s="490"/>
      <c r="Q28" s="491"/>
      <c r="R28" s="490"/>
      <c r="S28" s="491"/>
      <c r="T28" s="489"/>
    </row>
    <row r="29" spans="1:20" ht="48" customHeight="1" x14ac:dyDescent="0.25">
      <c r="A29" s="1088" t="s">
        <v>2057</v>
      </c>
      <c r="B29" s="1088" t="s">
        <v>1920</v>
      </c>
      <c r="C29" s="882">
        <v>15</v>
      </c>
      <c r="D29" s="1088" t="s">
        <v>1915</v>
      </c>
      <c r="E29" s="1075" t="s">
        <v>2556</v>
      </c>
      <c r="F29" s="489" t="s">
        <v>2567</v>
      </c>
      <c r="G29" s="489">
        <v>1034</v>
      </c>
      <c r="H29" s="1091">
        <v>0</v>
      </c>
      <c r="I29" s="1092">
        <v>0</v>
      </c>
      <c r="J29" s="1091">
        <v>2700</v>
      </c>
      <c r="K29" s="1092">
        <f>J29*7500000</f>
        <v>20250000000</v>
      </c>
      <c r="L29" s="1091">
        <v>2700</v>
      </c>
      <c r="M29" s="1092">
        <f>L29*7500000</f>
        <v>20250000000</v>
      </c>
      <c r="N29" s="1091">
        <v>2700</v>
      </c>
      <c r="O29" s="1092">
        <f>N29*7500000</f>
        <v>20250000000</v>
      </c>
      <c r="P29" s="1091">
        <v>2866</v>
      </c>
      <c r="Q29" s="1092">
        <f>P29*7500000</f>
        <v>21495000000</v>
      </c>
      <c r="R29" s="1091">
        <v>12000</v>
      </c>
      <c r="S29" s="1092">
        <v>90000000000</v>
      </c>
      <c r="T29" s="1093" t="s">
        <v>2568</v>
      </c>
    </row>
    <row r="30" spans="1:20" ht="67.5" customHeight="1" x14ac:dyDescent="0.25">
      <c r="A30" s="1088" t="s">
        <v>2057</v>
      </c>
      <c r="B30" s="1088" t="s">
        <v>1920</v>
      </c>
      <c r="C30" s="882">
        <v>16</v>
      </c>
      <c r="D30" s="1088" t="s">
        <v>1909</v>
      </c>
      <c r="E30" s="1075" t="s">
        <v>2557</v>
      </c>
      <c r="F30" s="489" t="s">
        <v>2573</v>
      </c>
      <c r="G30" s="1273">
        <v>0</v>
      </c>
      <c r="H30" s="1091">
        <v>0</v>
      </c>
      <c r="I30" s="1092">
        <v>0</v>
      </c>
      <c r="J30" s="1091">
        <v>0</v>
      </c>
      <c r="K30" s="1092">
        <v>0</v>
      </c>
      <c r="L30" s="1091">
        <v>10</v>
      </c>
      <c r="M30" s="1092"/>
      <c r="N30" s="1091">
        <v>20</v>
      </c>
      <c r="O30" s="1092"/>
      <c r="P30" s="1091">
        <v>20</v>
      </c>
      <c r="Q30" s="1092"/>
      <c r="R30" s="1091">
        <v>50</v>
      </c>
      <c r="S30" s="1092"/>
      <c r="T30" s="1093"/>
    </row>
    <row r="31" spans="1:20" ht="48" customHeight="1" x14ac:dyDescent="0.25">
      <c r="A31" s="1088" t="s">
        <v>2057</v>
      </c>
      <c r="B31" s="1088" t="s">
        <v>1920</v>
      </c>
      <c r="C31" s="882">
        <v>16</v>
      </c>
      <c r="D31" s="1088" t="s">
        <v>1909</v>
      </c>
      <c r="E31" s="1075" t="s">
        <v>2557</v>
      </c>
      <c r="F31" s="489" t="s">
        <v>2573</v>
      </c>
      <c r="G31" s="1273">
        <v>0</v>
      </c>
      <c r="H31" s="1091"/>
      <c r="I31" s="1092"/>
      <c r="J31" s="1091"/>
      <c r="K31" s="1092"/>
      <c r="L31" s="1091"/>
      <c r="M31" s="1092"/>
      <c r="N31" s="1091"/>
      <c r="O31" s="1092"/>
      <c r="P31" s="1091"/>
      <c r="Q31" s="1092"/>
      <c r="R31" s="1091"/>
      <c r="S31" s="1092"/>
      <c r="T31" s="1093"/>
    </row>
    <row r="32" spans="1:20" ht="48" customHeight="1" x14ac:dyDescent="0.25">
      <c r="A32" s="1088">
        <v>16</v>
      </c>
      <c r="B32" s="1088">
        <v>1</v>
      </c>
      <c r="C32" s="882">
        <v>16</v>
      </c>
      <c r="D32" s="882">
        <v>1</v>
      </c>
      <c r="E32" s="1075" t="s">
        <v>1883</v>
      </c>
      <c r="F32" s="489"/>
      <c r="G32" s="489"/>
      <c r="H32" s="1091"/>
      <c r="I32" s="1092"/>
      <c r="J32" s="1091"/>
      <c r="K32" s="1092"/>
      <c r="L32" s="1091"/>
      <c r="M32" s="1092"/>
      <c r="N32" s="1091"/>
      <c r="O32" s="1092"/>
      <c r="P32" s="1091"/>
      <c r="Q32" s="1092"/>
      <c r="R32" s="1091"/>
      <c r="S32" s="1092"/>
      <c r="T32" s="1093"/>
    </row>
    <row r="33" spans="1:21" ht="48" customHeight="1" x14ac:dyDescent="0.25">
      <c r="A33" s="1088"/>
      <c r="B33" s="1088"/>
      <c r="C33" s="882"/>
      <c r="D33" s="882"/>
      <c r="E33" s="494"/>
      <c r="F33" s="489"/>
      <c r="G33" s="489"/>
      <c r="H33" s="1091"/>
      <c r="I33" s="1092"/>
      <c r="J33" s="1091"/>
      <c r="K33" s="1092"/>
      <c r="L33" s="1091"/>
      <c r="M33" s="1092"/>
      <c r="N33" s="1091"/>
      <c r="O33" s="1092"/>
      <c r="P33" s="1091"/>
      <c r="Q33" s="1092"/>
      <c r="R33" s="1091"/>
      <c r="S33" s="1092"/>
      <c r="T33" s="1093"/>
    </row>
    <row r="34" spans="1:21" ht="48" customHeight="1" x14ac:dyDescent="0.25">
      <c r="A34" s="1088"/>
      <c r="B34" s="1088"/>
      <c r="C34" s="882"/>
      <c r="D34" s="882"/>
      <c r="E34" s="494"/>
      <c r="F34" s="489"/>
      <c r="G34" s="489"/>
      <c r="H34" s="1091"/>
      <c r="I34" s="1092"/>
      <c r="J34" s="1091"/>
      <c r="K34" s="1092"/>
      <c r="L34" s="1091"/>
      <c r="M34" s="1092"/>
      <c r="N34" s="1091"/>
      <c r="O34" s="1092"/>
      <c r="P34" s="1091"/>
      <c r="Q34" s="1092"/>
      <c r="R34" s="1091"/>
      <c r="S34" s="1092"/>
      <c r="T34" s="1093"/>
    </row>
    <row r="35" spans="1:21" ht="48" customHeight="1" x14ac:dyDescent="0.25">
      <c r="A35" s="1088"/>
      <c r="B35" s="1088"/>
      <c r="C35" s="882"/>
      <c r="D35" s="882"/>
      <c r="E35" s="494"/>
      <c r="F35" s="489"/>
      <c r="G35" s="489"/>
      <c r="H35" s="1091"/>
      <c r="I35" s="1092"/>
      <c r="J35" s="1091"/>
      <c r="K35" s="1092"/>
      <c r="L35" s="1091"/>
      <c r="M35" s="1092"/>
      <c r="N35" s="1091"/>
      <c r="O35" s="1092"/>
      <c r="P35" s="1091"/>
      <c r="Q35" s="1092"/>
      <c r="R35" s="1091"/>
      <c r="S35" s="1092"/>
      <c r="T35" s="1093"/>
    </row>
    <row r="36" spans="1:21" s="502" customFormat="1" ht="28.5" customHeight="1" x14ac:dyDescent="0.25">
      <c r="A36" s="495"/>
      <c r="B36" s="496"/>
      <c r="C36" s="496"/>
      <c r="D36" s="497"/>
      <c r="E36" s="498"/>
      <c r="F36" s="499"/>
      <c r="G36" s="499"/>
      <c r="H36" s="500"/>
      <c r="I36" s="501"/>
      <c r="J36" s="500"/>
      <c r="K36" s="501"/>
      <c r="L36" s="500"/>
      <c r="M36" s="501"/>
      <c r="N36" s="500"/>
      <c r="O36" s="501"/>
      <c r="P36" s="500"/>
      <c r="Q36" s="501"/>
      <c r="R36" s="500"/>
      <c r="S36" s="501"/>
      <c r="T36" s="499"/>
    </row>
    <row r="37" spans="1:21" s="508" customFormat="1" ht="28.5" customHeight="1" x14ac:dyDescent="0.25">
      <c r="A37" s="503" t="s">
        <v>1840</v>
      </c>
      <c r="B37" s="481"/>
      <c r="C37" s="481"/>
      <c r="D37" s="482"/>
      <c r="E37" s="504"/>
      <c r="F37" s="505"/>
      <c r="G37" s="505"/>
      <c r="H37" s="506"/>
      <c r="I37" s="507"/>
      <c r="J37" s="506"/>
      <c r="K37" s="507"/>
      <c r="L37" s="506"/>
      <c r="M37" s="507"/>
      <c r="N37" s="506"/>
      <c r="O37" s="507"/>
      <c r="P37" s="506"/>
      <c r="Q37" s="507"/>
      <c r="R37" s="506"/>
      <c r="S37" s="507"/>
      <c r="T37" s="505"/>
    </row>
    <row r="38" spans="1:21" s="463" customFormat="1" ht="71.25" customHeight="1" x14ac:dyDescent="0.25">
      <c r="A38" s="509" t="s">
        <v>1909</v>
      </c>
      <c r="B38" s="510" t="s">
        <v>1920</v>
      </c>
      <c r="C38" s="511">
        <v>16</v>
      </c>
      <c r="D38" s="511"/>
      <c r="E38" s="512" t="s">
        <v>37</v>
      </c>
      <c r="F38" s="513" t="s">
        <v>1968</v>
      </c>
      <c r="G38" s="514">
        <v>0.98</v>
      </c>
      <c r="H38" s="515"/>
      <c r="I38" s="516"/>
      <c r="J38" s="515">
        <v>1</v>
      </c>
      <c r="K38" s="517">
        <f>10023707000/1000</f>
        <v>10023707</v>
      </c>
      <c r="L38" s="515">
        <v>1</v>
      </c>
      <c r="M38" s="517">
        <f>9952426400/1000</f>
        <v>9952426.4000000004</v>
      </c>
      <c r="N38" s="515">
        <v>1</v>
      </c>
      <c r="O38" s="517">
        <f>10947669040/1000</f>
        <v>10947669.039999999</v>
      </c>
      <c r="P38" s="515">
        <v>1</v>
      </c>
      <c r="Q38" s="517">
        <f>12042435944/1000</f>
        <v>12042435.944</v>
      </c>
      <c r="R38" s="472">
        <v>1</v>
      </c>
      <c r="S38" s="517">
        <f>12042435944/1000</f>
        <v>12042435.944</v>
      </c>
      <c r="T38" s="518" t="s">
        <v>94</v>
      </c>
      <c r="U38" s="519"/>
    </row>
    <row r="39" spans="1:21" s="463" customFormat="1" ht="71.25" customHeight="1" x14ac:dyDescent="0.25">
      <c r="A39" s="454" t="s">
        <v>1909</v>
      </c>
      <c r="B39" s="454" t="s">
        <v>1920</v>
      </c>
      <c r="C39" s="520">
        <v>15</v>
      </c>
      <c r="D39" s="520"/>
      <c r="E39" s="457" t="s">
        <v>98</v>
      </c>
      <c r="F39" s="457" t="s">
        <v>1969</v>
      </c>
      <c r="G39" s="457" t="s">
        <v>1970</v>
      </c>
      <c r="H39" s="521" t="s">
        <v>1971</v>
      </c>
      <c r="I39" s="522">
        <f>558546000/1000</f>
        <v>558546</v>
      </c>
      <c r="J39" s="455" t="s">
        <v>1972</v>
      </c>
      <c r="K39" s="523">
        <f>614400600/1000</f>
        <v>614400.6</v>
      </c>
      <c r="L39" s="460" t="s">
        <v>1972</v>
      </c>
      <c r="M39" s="523">
        <f>675840660/1000</f>
        <v>675840.66</v>
      </c>
      <c r="N39" s="460" t="s">
        <v>1972</v>
      </c>
      <c r="O39" s="523">
        <f>743424726/1000</f>
        <v>743424.72600000002</v>
      </c>
      <c r="P39" s="460" t="s">
        <v>1972</v>
      </c>
      <c r="Q39" s="523">
        <f>817767198.6/1000</f>
        <v>817767.1986</v>
      </c>
      <c r="R39" s="460" t="s">
        <v>1973</v>
      </c>
      <c r="S39" s="523">
        <f>817767198.6/1000</f>
        <v>817767.1986</v>
      </c>
      <c r="T39" s="524" t="s">
        <v>94</v>
      </c>
      <c r="U39" s="525"/>
    </row>
    <row r="40" spans="1:21" s="446" customFormat="1" ht="28.5" customHeight="1" x14ac:dyDescent="0.25">
      <c r="A40" s="1459" t="s">
        <v>1974</v>
      </c>
      <c r="B40" s="1460"/>
      <c r="C40" s="1460"/>
      <c r="D40" s="1460"/>
      <c r="E40" s="1460"/>
      <c r="F40" s="1460"/>
      <c r="G40" s="1460"/>
      <c r="H40" s="1460"/>
      <c r="I40" s="1460"/>
      <c r="J40" s="1460"/>
      <c r="K40" s="1460"/>
      <c r="L40" s="1460"/>
      <c r="M40" s="1460"/>
      <c r="N40" s="1460"/>
      <c r="O40" s="1460"/>
      <c r="P40" s="1460"/>
      <c r="Q40" s="1460"/>
      <c r="R40" s="1460"/>
      <c r="S40" s="1460"/>
      <c r="T40" s="1461"/>
    </row>
    <row r="41" spans="1:21" s="526" customFormat="1" ht="24.75" customHeight="1" x14ac:dyDescent="0.25">
      <c r="A41" s="503" t="s">
        <v>1975</v>
      </c>
      <c r="B41" s="481"/>
      <c r="C41" s="481"/>
      <c r="D41" s="482"/>
      <c r="E41" s="484"/>
      <c r="F41" s="484"/>
      <c r="G41" s="484"/>
      <c r="H41" s="485"/>
      <c r="I41" s="485"/>
      <c r="J41" s="485"/>
      <c r="K41" s="485"/>
      <c r="L41" s="485"/>
      <c r="M41" s="485"/>
      <c r="N41" s="485"/>
      <c r="O41" s="485"/>
      <c r="P41" s="485"/>
      <c r="Q41" s="485"/>
      <c r="R41" s="485"/>
      <c r="S41" s="485"/>
      <c r="T41" s="484"/>
    </row>
    <row r="42" spans="1:21" ht="124.5" customHeight="1" x14ac:dyDescent="0.25">
      <c r="A42" s="527" t="s">
        <v>1976</v>
      </c>
      <c r="B42" s="528" t="s">
        <v>1920</v>
      </c>
      <c r="C42" s="529">
        <v>15</v>
      </c>
      <c r="D42" s="530"/>
      <c r="E42" s="531" t="s">
        <v>53</v>
      </c>
      <c r="F42" s="531" t="s">
        <v>1977</v>
      </c>
      <c r="G42" s="532" t="s">
        <v>1978</v>
      </c>
      <c r="H42" s="443" t="s">
        <v>1979</v>
      </c>
      <c r="I42" s="533">
        <v>1681000</v>
      </c>
      <c r="J42" s="534" t="s">
        <v>1980</v>
      </c>
      <c r="K42" s="535">
        <v>2082100</v>
      </c>
      <c r="L42" s="534" t="s">
        <v>1981</v>
      </c>
      <c r="M42" s="535">
        <v>3390310</v>
      </c>
      <c r="N42" s="536" t="s">
        <v>1982</v>
      </c>
      <c r="O42" s="535">
        <v>2819341</v>
      </c>
      <c r="P42" s="536" t="s">
        <v>1983</v>
      </c>
      <c r="Q42" s="535">
        <v>3171275</v>
      </c>
      <c r="R42" s="536" t="s">
        <v>1984</v>
      </c>
      <c r="S42" s="537">
        <v>12788953</v>
      </c>
      <c r="T42" s="445" t="s">
        <v>55</v>
      </c>
    </row>
    <row r="43" spans="1:21" ht="63.75" customHeight="1" x14ac:dyDescent="0.25">
      <c r="A43" s="527" t="s">
        <v>1976</v>
      </c>
      <c r="B43" s="528" t="s">
        <v>1920</v>
      </c>
      <c r="C43" s="529">
        <v>16</v>
      </c>
      <c r="D43" s="530"/>
      <c r="E43" s="531" t="s">
        <v>1985</v>
      </c>
      <c r="F43" s="447" t="s">
        <v>1986</v>
      </c>
      <c r="G43" s="538" t="s">
        <v>1987</v>
      </c>
      <c r="H43" s="539" t="s">
        <v>1988</v>
      </c>
      <c r="I43" s="535">
        <v>659050</v>
      </c>
      <c r="J43" s="539" t="s">
        <v>1989</v>
      </c>
      <c r="K43" s="535">
        <v>949955</v>
      </c>
      <c r="L43" s="539" t="s">
        <v>1990</v>
      </c>
      <c r="M43" s="535">
        <v>1044951</v>
      </c>
      <c r="N43" s="536" t="s">
        <v>1991</v>
      </c>
      <c r="O43" s="535">
        <v>1149446</v>
      </c>
      <c r="P43" s="536" t="s">
        <v>1992</v>
      </c>
      <c r="Q43" s="535">
        <v>1104670</v>
      </c>
      <c r="R43" s="536" t="s">
        <v>1993</v>
      </c>
      <c r="S43" s="537">
        <v>4033960</v>
      </c>
      <c r="T43" s="540" t="s">
        <v>55</v>
      </c>
    </row>
    <row r="44" spans="1:21" ht="63" customHeight="1" x14ac:dyDescent="0.25">
      <c r="A44" s="527" t="s">
        <v>1976</v>
      </c>
      <c r="B44" s="528" t="s">
        <v>1920</v>
      </c>
      <c r="C44" s="529">
        <v>17</v>
      </c>
      <c r="D44" s="541"/>
      <c r="E44" s="531" t="s">
        <v>81</v>
      </c>
      <c r="F44" s="542" t="s">
        <v>1994</v>
      </c>
      <c r="G44" s="443">
        <v>0</v>
      </c>
      <c r="H44" s="438" t="s">
        <v>1995</v>
      </c>
      <c r="I44" s="535">
        <v>254126</v>
      </c>
      <c r="J44" s="438" t="s">
        <v>1996</v>
      </c>
      <c r="K44" s="535">
        <v>279539</v>
      </c>
      <c r="L44" s="438" t="s">
        <v>1997</v>
      </c>
      <c r="M44" s="543">
        <v>307492</v>
      </c>
      <c r="N44" s="438" t="s">
        <v>1998</v>
      </c>
      <c r="O44" s="543">
        <v>338242</v>
      </c>
      <c r="P44" s="438" t="s">
        <v>1999</v>
      </c>
      <c r="Q44" s="543">
        <v>372066</v>
      </c>
      <c r="R44" s="438" t="s">
        <v>2000</v>
      </c>
      <c r="S44" s="544">
        <v>1551465</v>
      </c>
      <c r="T44" s="445" t="s">
        <v>55</v>
      </c>
    </row>
    <row r="45" spans="1:21" ht="74.25" customHeight="1" x14ac:dyDescent="0.25">
      <c r="A45" s="527" t="s">
        <v>1976</v>
      </c>
      <c r="B45" s="528" t="s">
        <v>1920</v>
      </c>
      <c r="C45" s="529">
        <v>19</v>
      </c>
      <c r="D45" s="541"/>
      <c r="E45" s="447" t="s">
        <v>84</v>
      </c>
      <c r="F45" s="447" t="s">
        <v>2001</v>
      </c>
      <c r="G45" s="545">
        <f>(30/150)*1</f>
        <v>0.2</v>
      </c>
      <c r="H45" s="546" t="s">
        <v>2002</v>
      </c>
      <c r="I45" s="543">
        <v>79491</v>
      </c>
      <c r="J45" s="547" t="s">
        <v>2002</v>
      </c>
      <c r="K45" s="535">
        <v>87440</v>
      </c>
      <c r="L45" s="547" t="s">
        <v>2002</v>
      </c>
      <c r="M45" s="543">
        <v>96184</v>
      </c>
      <c r="N45" s="547" t="s">
        <v>2002</v>
      </c>
      <c r="O45" s="543">
        <v>105803</v>
      </c>
      <c r="P45" s="547" t="s">
        <v>2002</v>
      </c>
      <c r="Q45" s="543">
        <v>116383</v>
      </c>
      <c r="R45" s="548" t="s">
        <v>2003</v>
      </c>
      <c r="S45" s="544">
        <v>485301</v>
      </c>
      <c r="T45" s="445" t="s">
        <v>55</v>
      </c>
    </row>
    <row r="46" spans="1:21" ht="68.25" customHeight="1" x14ac:dyDescent="0.25">
      <c r="A46" s="527" t="s">
        <v>1976</v>
      </c>
      <c r="B46" s="528" t="s">
        <v>1920</v>
      </c>
      <c r="C46" s="529">
        <v>20</v>
      </c>
      <c r="D46" s="541"/>
      <c r="E46" s="447" t="s">
        <v>79</v>
      </c>
      <c r="F46" s="447" t="s">
        <v>2004</v>
      </c>
      <c r="G46" s="445" t="s">
        <v>2005</v>
      </c>
      <c r="H46" s="443" t="s">
        <v>2006</v>
      </c>
      <c r="I46" s="543">
        <v>112588</v>
      </c>
      <c r="J46" s="546" t="s">
        <v>2007</v>
      </c>
      <c r="K46" s="535">
        <v>301157</v>
      </c>
      <c r="L46" s="438" t="s">
        <v>2008</v>
      </c>
      <c r="M46" s="535">
        <v>331272</v>
      </c>
      <c r="N46" s="549" t="s">
        <v>2009</v>
      </c>
      <c r="O46" s="543">
        <v>364399</v>
      </c>
      <c r="P46" s="549" t="s">
        <v>2010</v>
      </c>
      <c r="Q46" s="543">
        <v>400839</v>
      </c>
      <c r="R46" s="443" t="s">
        <v>2011</v>
      </c>
      <c r="S46" s="544">
        <v>434114</v>
      </c>
      <c r="T46" s="445" t="s">
        <v>55</v>
      </c>
    </row>
    <row r="47" spans="1:21" ht="68.25" customHeight="1" x14ac:dyDescent="0.25">
      <c r="A47" s="527" t="s">
        <v>1976</v>
      </c>
      <c r="B47" s="528" t="s">
        <v>1920</v>
      </c>
      <c r="C47" s="529">
        <v>24</v>
      </c>
      <c r="D47" s="541"/>
      <c r="E47" s="447" t="s">
        <v>82</v>
      </c>
      <c r="F47" s="447" t="s">
        <v>2012</v>
      </c>
      <c r="G47" s="545">
        <f>(988/9000)*1</f>
        <v>0.10977777777777778</v>
      </c>
      <c r="H47" s="534" t="s">
        <v>2013</v>
      </c>
      <c r="I47" s="543">
        <v>720000</v>
      </c>
      <c r="J47" s="534" t="s">
        <v>2014</v>
      </c>
      <c r="K47" s="535">
        <v>792000</v>
      </c>
      <c r="L47" s="534" t="s">
        <v>2015</v>
      </c>
      <c r="M47" s="535">
        <v>871200</v>
      </c>
      <c r="N47" s="534" t="s">
        <v>2016</v>
      </c>
      <c r="O47" s="543">
        <v>958320</v>
      </c>
      <c r="P47" s="534" t="s">
        <v>2017</v>
      </c>
      <c r="Q47" s="543">
        <v>1054152</v>
      </c>
      <c r="R47" s="534" t="s">
        <v>2018</v>
      </c>
      <c r="S47" s="544">
        <v>4395672</v>
      </c>
      <c r="T47" s="540" t="s">
        <v>55</v>
      </c>
    </row>
    <row r="48" spans="1:21" ht="63" customHeight="1" x14ac:dyDescent="0.25">
      <c r="A48" s="527" t="s">
        <v>1976</v>
      </c>
      <c r="B48" s="528" t="s">
        <v>1920</v>
      </c>
      <c r="C48" s="529">
        <v>25</v>
      </c>
      <c r="D48" s="541"/>
      <c r="E48" s="447" t="s">
        <v>77</v>
      </c>
      <c r="F48" s="447" t="s">
        <v>2019</v>
      </c>
      <c r="G48" s="445">
        <v>0</v>
      </c>
      <c r="H48" s="546" t="s">
        <v>2020</v>
      </c>
      <c r="I48" s="543">
        <v>17430</v>
      </c>
      <c r="J48" s="546" t="s">
        <v>2021</v>
      </c>
      <c r="K48" s="535">
        <v>149173</v>
      </c>
      <c r="L48" s="546" t="s">
        <v>2022</v>
      </c>
      <c r="M48" s="535">
        <v>164090</v>
      </c>
      <c r="N48" s="546" t="s">
        <v>2023</v>
      </c>
      <c r="O48" s="543">
        <v>180499</v>
      </c>
      <c r="P48" s="546" t="s">
        <v>2024</v>
      </c>
      <c r="Q48" s="543">
        <v>198549</v>
      </c>
      <c r="R48" s="546" t="s">
        <v>2025</v>
      </c>
      <c r="S48" s="544">
        <v>709742</v>
      </c>
      <c r="T48" s="445" t="s">
        <v>55</v>
      </c>
    </row>
    <row r="49" spans="1:20" ht="135.75" customHeight="1" x14ac:dyDescent="0.25">
      <c r="A49" s="527" t="s">
        <v>1976</v>
      </c>
      <c r="B49" s="528" t="s">
        <v>1920</v>
      </c>
      <c r="C49" s="529">
        <v>26</v>
      </c>
      <c r="D49" s="541"/>
      <c r="E49" s="550" t="s">
        <v>86</v>
      </c>
      <c r="F49" s="447" t="s">
        <v>2026</v>
      </c>
      <c r="G49" s="445">
        <v>0</v>
      </c>
      <c r="H49" s="551" t="s">
        <v>2027</v>
      </c>
      <c r="I49" s="552">
        <v>177582</v>
      </c>
      <c r="J49" s="551" t="s">
        <v>2028</v>
      </c>
      <c r="K49" s="553">
        <v>316000</v>
      </c>
      <c r="L49" s="551" t="s">
        <v>2029</v>
      </c>
      <c r="M49" s="553">
        <v>347600</v>
      </c>
      <c r="N49" s="551" t="s">
        <v>2030</v>
      </c>
      <c r="O49" s="552">
        <v>382360</v>
      </c>
      <c r="P49" s="551" t="s">
        <v>2031</v>
      </c>
      <c r="Q49" s="552">
        <v>420596</v>
      </c>
      <c r="R49" s="551" t="s">
        <v>2032</v>
      </c>
      <c r="S49" s="554">
        <v>1644138</v>
      </c>
      <c r="T49" s="445" t="s">
        <v>55</v>
      </c>
    </row>
    <row r="50" spans="1:20" ht="78.75" customHeight="1" x14ac:dyDescent="0.25">
      <c r="A50" s="527" t="s">
        <v>1976</v>
      </c>
      <c r="B50" s="528" t="s">
        <v>1920</v>
      </c>
      <c r="C50" s="529" t="s">
        <v>2033</v>
      </c>
      <c r="D50" s="541"/>
      <c r="E50" s="447" t="s">
        <v>80</v>
      </c>
      <c r="F50" s="447" t="s">
        <v>2034</v>
      </c>
      <c r="G50" s="445">
        <v>0</v>
      </c>
      <c r="H50" s="546">
        <v>0</v>
      </c>
      <c r="I50" s="543">
        <v>0</v>
      </c>
      <c r="J50" s="546">
        <v>0</v>
      </c>
      <c r="K50" s="543">
        <v>0</v>
      </c>
      <c r="L50" s="546" t="s">
        <v>2035</v>
      </c>
      <c r="M50" s="535">
        <v>2000000</v>
      </c>
      <c r="N50" s="546">
        <v>0</v>
      </c>
      <c r="O50" s="543">
        <v>0</v>
      </c>
      <c r="P50" s="546">
        <v>0</v>
      </c>
      <c r="Q50" s="543">
        <v>0</v>
      </c>
      <c r="R50" s="546" t="s">
        <v>2035</v>
      </c>
      <c r="S50" s="544">
        <v>2000000</v>
      </c>
      <c r="T50" s="540" t="s">
        <v>55</v>
      </c>
    </row>
    <row r="51" spans="1:20" ht="129.75" customHeight="1" x14ac:dyDescent="0.25">
      <c r="A51" s="555" t="s">
        <v>1976</v>
      </c>
      <c r="B51" s="555" t="s">
        <v>1909</v>
      </c>
      <c r="C51" s="556">
        <v>15</v>
      </c>
      <c r="D51" s="556"/>
      <c r="E51" s="557" t="s">
        <v>2036</v>
      </c>
      <c r="F51" s="557" t="s">
        <v>2037</v>
      </c>
      <c r="G51" s="557" t="s">
        <v>2038</v>
      </c>
      <c r="H51" s="557" t="s">
        <v>2039</v>
      </c>
      <c r="I51" s="558">
        <v>4421340</v>
      </c>
      <c r="J51" s="557" t="s">
        <v>2040</v>
      </c>
      <c r="K51" s="559">
        <v>4753280</v>
      </c>
      <c r="L51" s="557" t="s">
        <v>2041</v>
      </c>
      <c r="M51" s="560">
        <v>5082840</v>
      </c>
      <c r="N51" s="557" t="s">
        <v>2042</v>
      </c>
      <c r="O51" s="559">
        <v>5415100</v>
      </c>
      <c r="P51" s="557" t="s">
        <v>2043</v>
      </c>
      <c r="Q51" s="561">
        <v>5750400</v>
      </c>
      <c r="R51" s="557" t="s">
        <v>2043</v>
      </c>
      <c r="S51" s="561">
        <v>5750400</v>
      </c>
      <c r="T51" s="562" t="s">
        <v>2044</v>
      </c>
    </row>
    <row r="52" spans="1:20" ht="79.5" customHeight="1" x14ac:dyDescent="0.25">
      <c r="A52" s="555" t="s">
        <v>1976</v>
      </c>
      <c r="B52" s="555" t="s">
        <v>1909</v>
      </c>
      <c r="C52" s="556">
        <v>19</v>
      </c>
      <c r="D52" s="556"/>
      <c r="E52" s="557" t="s">
        <v>2045</v>
      </c>
      <c r="F52" s="557" t="s">
        <v>1332</v>
      </c>
      <c r="G52" s="562" t="s">
        <v>358</v>
      </c>
      <c r="H52" s="563" t="s">
        <v>358</v>
      </c>
      <c r="I52" s="561">
        <v>22800</v>
      </c>
      <c r="J52" s="563" t="s">
        <v>358</v>
      </c>
      <c r="K52" s="559">
        <v>24000</v>
      </c>
      <c r="L52" s="563" t="s">
        <v>359</v>
      </c>
      <c r="M52" s="560">
        <v>40000</v>
      </c>
      <c r="N52" s="563" t="s">
        <v>359</v>
      </c>
      <c r="O52" s="559">
        <v>42000</v>
      </c>
      <c r="P52" s="563" t="s">
        <v>359</v>
      </c>
      <c r="Q52" s="564">
        <v>44000</v>
      </c>
      <c r="R52" s="563" t="s">
        <v>359</v>
      </c>
      <c r="S52" s="565">
        <v>44000</v>
      </c>
      <c r="T52" s="562" t="s">
        <v>2044</v>
      </c>
    </row>
    <row r="53" spans="1:20" ht="72.75" customHeight="1" x14ac:dyDescent="0.25">
      <c r="A53" s="530">
        <v>19</v>
      </c>
      <c r="B53" s="530" t="s">
        <v>2033</v>
      </c>
      <c r="C53" s="530">
        <v>22</v>
      </c>
      <c r="D53" s="530"/>
      <c r="E53" s="557" t="s">
        <v>2046</v>
      </c>
      <c r="F53" s="566" t="s">
        <v>2047</v>
      </c>
      <c r="G53" s="562" t="s">
        <v>2048</v>
      </c>
      <c r="H53" s="563" t="s">
        <v>2049</v>
      </c>
      <c r="I53" s="567" t="s">
        <v>1233</v>
      </c>
      <c r="J53" s="563" t="s">
        <v>2050</v>
      </c>
      <c r="K53" s="564">
        <v>64114000</v>
      </c>
      <c r="L53" s="563" t="s">
        <v>2051</v>
      </c>
      <c r="M53" s="568">
        <v>562000000</v>
      </c>
      <c r="N53" s="563" t="s">
        <v>2052</v>
      </c>
      <c r="O53" s="569">
        <v>612000000</v>
      </c>
      <c r="P53" s="563" t="s">
        <v>2053</v>
      </c>
      <c r="Q53" s="569">
        <v>842000000</v>
      </c>
      <c r="R53" s="563" t="s">
        <v>2051</v>
      </c>
      <c r="S53" s="569">
        <v>722000000</v>
      </c>
      <c r="T53" s="562" t="s">
        <v>1126</v>
      </c>
    </row>
    <row r="54" spans="1:20" ht="46.5" customHeight="1" x14ac:dyDescent="0.25">
      <c r="A54" s="530">
        <v>19</v>
      </c>
      <c r="B54" s="530" t="s">
        <v>2033</v>
      </c>
      <c r="C54" s="530" t="s">
        <v>2033</v>
      </c>
      <c r="D54" s="530"/>
      <c r="E54" s="557" t="s">
        <v>2054</v>
      </c>
      <c r="F54" s="557" t="s">
        <v>2055</v>
      </c>
      <c r="G54" s="562" t="s">
        <v>2056</v>
      </c>
      <c r="H54" s="570" t="s">
        <v>1233</v>
      </c>
      <c r="I54" s="571" t="s">
        <v>1233</v>
      </c>
      <c r="J54" s="572" t="s">
        <v>2056</v>
      </c>
      <c r="K54" s="564">
        <v>102714000</v>
      </c>
      <c r="L54" s="563" t="s">
        <v>2056</v>
      </c>
      <c r="M54" s="569">
        <v>330000000</v>
      </c>
      <c r="N54" s="563" t="s">
        <v>2056</v>
      </c>
      <c r="O54" s="569">
        <v>1400000000</v>
      </c>
      <c r="P54" s="563" t="s">
        <v>2056</v>
      </c>
      <c r="Q54" s="569">
        <v>800000000</v>
      </c>
      <c r="R54" s="563" t="s">
        <v>2056</v>
      </c>
      <c r="S54" s="569">
        <v>1200000000</v>
      </c>
      <c r="T54" s="562" t="s">
        <v>1126</v>
      </c>
    </row>
    <row r="55" spans="1:20" s="574" customFormat="1" ht="70.5" customHeight="1" x14ac:dyDescent="0.25">
      <c r="A55" s="573" t="s">
        <v>2057</v>
      </c>
      <c r="B55" s="530" t="s">
        <v>2033</v>
      </c>
      <c r="C55" s="530">
        <v>19</v>
      </c>
      <c r="D55" s="530"/>
      <c r="E55" s="557" t="s">
        <v>2058</v>
      </c>
      <c r="F55" s="566" t="s">
        <v>2059</v>
      </c>
      <c r="G55" s="562" t="s">
        <v>2060</v>
      </c>
      <c r="H55" s="570" t="s">
        <v>1233</v>
      </c>
      <c r="I55" s="571" t="s">
        <v>2061</v>
      </c>
      <c r="J55" s="570" t="s">
        <v>1233</v>
      </c>
      <c r="K55" s="564">
        <v>150000000</v>
      </c>
      <c r="L55" s="563" t="s">
        <v>2062</v>
      </c>
      <c r="M55" s="569">
        <v>637724000</v>
      </c>
      <c r="N55" s="563" t="s">
        <v>2063</v>
      </c>
      <c r="O55" s="569">
        <v>1323012400</v>
      </c>
      <c r="P55" s="563" t="s">
        <v>2063</v>
      </c>
      <c r="Q55" s="569">
        <v>745181640</v>
      </c>
      <c r="R55" s="563" t="s">
        <v>2063</v>
      </c>
      <c r="S55" s="569">
        <v>1049956902</v>
      </c>
      <c r="T55" s="562" t="s">
        <v>1126</v>
      </c>
    </row>
    <row r="56" spans="1:20" s="576" customFormat="1" ht="59.25" customHeight="1" x14ac:dyDescent="0.2">
      <c r="A56" s="530">
        <v>19</v>
      </c>
      <c r="B56" s="530" t="s">
        <v>2033</v>
      </c>
      <c r="C56" s="530" t="s">
        <v>2033</v>
      </c>
      <c r="D56" s="541"/>
      <c r="E56" s="557" t="s">
        <v>2064</v>
      </c>
      <c r="F56" s="566" t="s">
        <v>2065</v>
      </c>
      <c r="G56" s="562" t="s">
        <v>2066</v>
      </c>
      <c r="H56" s="570" t="s">
        <v>1233</v>
      </c>
      <c r="I56" s="571" t="s">
        <v>1233</v>
      </c>
      <c r="J56" s="570" t="s">
        <v>2061</v>
      </c>
      <c r="K56" s="575" t="s">
        <v>1233</v>
      </c>
      <c r="L56" s="563" t="s">
        <v>2067</v>
      </c>
      <c r="M56" s="569">
        <v>1553924779</v>
      </c>
      <c r="N56" s="563" t="s">
        <v>2068</v>
      </c>
      <c r="O56" s="569">
        <v>1575000000</v>
      </c>
      <c r="P56" s="563" t="s">
        <v>2069</v>
      </c>
      <c r="Q56" s="569">
        <v>1600000000</v>
      </c>
      <c r="R56" s="563" t="s">
        <v>2067</v>
      </c>
      <c r="S56" s="569">
        <v>350000000</v>
      </c>
      <c r="T56" s="562" t="s">
        <v>1126</v>
      </c>
    </row>
    <row r="57" spans="1:20" ht="41.25" customHeight="1" x14ac:dyDescent="0.25">
      <c r="A57" s="530">
        <v>19</v>
      </c>
      <c r="B57" s="530" t="s">
        <v>2033</v>
      </c>
      <c r="C57" s="530" t="s">
        <v>2033</v>
      </c>
      <c r="D57" s="541"/>
      <c r="E57" s="577" t="s">
        <v>2070</v>
      </c>
      <c r="F57" s="577" t="s">
        <v>2071</v>
      </c>
      <c r="G57" s="562" t="s">
        <v>2072</v>
      </c>
      <c r="H57" s="570" t="s">
        <v>1233</v>
      </c>
      <c r="I57" s="571" t="s">
        <v>1233</v>
      </c>
      <c r="J57" s="570" t="s">
        <v>1233</v>
      </c>
      <c r="K57" s="564">
        <v>450000000</v>
      </c>
      <c r="L57" s="563" t="s">
        <v>2072</v>
      </c>
      <c r="M57" s="569">
        <v>675000000</v>
      </c>
      <c r="N57" s="563" t="s">
        <v>2072</v>
      </c>
      <c r="O57" s="569">
        <v>775000000</v>
      </c>
      <c r="P57" s="563" t="s">
        <v>2072</v>
      </c>
      <c r="Q57" s="569">
        <v>3950000000</v>
      </c>
      <c r="R57" s="563" t="s">
        <v>2073</v>
      </c>
      <c r="S57" s="569">
        <v>225000000</v>
      </c>
      <c r="T57" s="562" t="s">
        <v>1126</v>
      </c>
    </row>
    <row r="58" spans="1:20" ht="45" customHeight="1" x14ac:dyDescent="0.25">
      <c r="A58" s="530">
        <v>19</v>
      </c>
      <c r="B58" s="530" t="s">
        <v>2033</v>
      </c>
      <c r="C58" s="530" t="s">
        <v>2033</v>
      </c>
      <c r="D58" s="541"/>
      <c r="E58" s="557" t="s">
        <v>2074</v>
      </c>
      <c r="F58" s="566" t="s">
        <v>2075</v>
      </c>
      <c r="G58" s="578">
        <v>0.05</v>
      </c>
      <c r="H58" s="570" t="s">
        <v>1233</v>
      </c>
      <c r="I58" s="571" t="s">
        <v>1233</v>
      </c>
      <c r="J58" s="570" t="s">
        <v>1233</v>
      </c>
      <c r="K58" s="579" t="s">
        <v>1233</v>
      </c>
      <c r="L58" s="580">
        <v>0.1</v>
      </c>
      <c r="M58" s="569">
        <v>10230000000</v>
      </c>
      <c r="N58" s="580">
        <v>0.12</v>
      </c>
      <c r="O58" s="569">
        <v>1166060000</v>
      </c>
      <c r="P58" s="580">
        <v>0.12</v>
      </c>
      <c r="Q58" s="569">
        <v>2540000000</v>
      </c>
      <c r="R58" s="580">
        <v>0.15</v>
      </c>
      <c r="S58" s="569">
        <v>1730000000</v>
      </c>
      <c r="T58" s="562" t="s">
        <v>1126</v>
      </c>
    </row>
    <row r="59" spans="1:20" ht="60" x14ac:dyDescent="0.25">
      <c r="A59" s="530">
        <v>19</v>
      </c>
      <c r="B59" s="530" t="s">
        <v>2033</v>
      </c>
      <c r="C59" s="530" t="s">
        <v>2033</v>
      </c>
      <c r="D59" s="581"/>
      <c r="E59" s="582" t="s">
        <v>2076</v>
      </c>
      <c r="F59" s="583" t="s">
        <v>2077</v>
      </c>
      <c r="G59" s="584" t="s">
        <v>1233</v>
      </c>
      <c r="H59" s="585" t="s">
        <v>1233</v>
      </c>
      <c r="I59" s="585" t="s">
        <v>1233</v>
      </c>
      <c r="J59" s="585" t="s">
        <v>1233</v>
      </c>
      <c r="K59" s="585" t="s">
        <v>1233</v>
      </c>
      <c r="L59" s="586">
        <v>0.1</v>
      </c>
      <c r="M59" s="587">
        <v>1860000000</v>
      </c>
      <c r="N59" s="586">
        <v>0.12</v>
      </c>
      <c r="O59" s="587">
        <v>2095000000</v>
      </c>
      <c r="P59" s="586">
        <v>0.12</v>
      </c>
      <c r="Q59" s="588">
        <v>2830000000</v>
      </c>
      <c r="R59" s="586">
        <v>0.12</v>
      </c>
      <c r="S59" s="589">
        <v>1375000000</v>
      </c>
      <c r="T59" s="562" t="s">
        <v>1126</v>
      </c>
    </row>
    <row r="60" spans="1:20" ht="24" customHeight="1" x14ac:dyDescent="0.25">
      <c r="A60" s="1480" t="s">
        <v>2078</v>
      </c>
      <c r="B60" s="1480"/>
      <c r="C60" s="1480"/>
      <c r="D60" s="1480"/>
      <c r="E60" s="1480"/>
      <c r="F60" s="1480"/>
      <c r="G60" s="1480"/>
      <c r="H60" s="1480"/>
      <c r="I60" s="1480"/>
      <c r="J60" s="1480"/>
      <c r="K60" s="1480"/>
      <c r="L60" s="1480"/>
      <c r="M60" s="1480"/>
      <c r="N60" s="1480"/>
      <c r="O60" s="1480"/>
      <c r="P60" s="1480"/>
      <c r="Q60" s="1480"/>
      <c r="R60" s="1480"/>
      <c r="S60" s="1480"/>
      <c r="T60" s="1480"/>
    </row>
    <row r="61" spans="1:20" s="591" customFormat="1" ht="24" customHeight="1" x14ac:dyDescent="0.25">
      <c r="A61" s="1481" t="s">
        <v>2079</v>
      </c>
      <c r="B61" s="1482"/>
      <c r="C61" s="1482"/>
      <c r="D61" s="1482"/>
      <c r="E61" s="1483"/>
      <c r="F61" s="590"/>
      <c r="G61" s="590"/>
      <c r="H61" s="590"/>
      <c r="I61" s="590"/>
      <c r="J61" s="590"/>
      <c r="K61" s="590"/>
      <c r="L61" s="590"/>
      <c r="M61" s="590"/>
      <c r="N61" s="590"/>
      <c r="O61" s="590"/>
      <c r="P61" s="590"/>
      <c r="Q61" s="590"/>
      <c r="R61" s="590"/>
      <c r="S61" s="590"/>
      <c r="T61" s="590"/>
    </row>
    <row r="62" spans="1:20" s="598" customFormat="1" ht="54.75" customHeight="1" x14ac:dyDescent="0.2">
      <c r="A62" s="592" t="s">
        <v>2080</v>
      </c>
      <c r="B62" s="592" t="s">
        <v>1920</v>
      </c>
      <c r="C62" s="593">
        <v>15</v>
      </c>
      <c r="D62" s="594"/>
      <c r="E62" s="531" t="s">
        <v>899</v>
      </c>
      <c r="F62" s="595" t="s">
        <v>2081</v>
      </c>
      <c r="G62" s="540" t="s">
        <v>2082</v>
      </c>
      <c r="H62" s="593" t="s">
        <v>2083</v>
      </c>
      <c r="I62" s="596">
        <v>112170</v>
      </c>
      <c r="J62" s="597" t="s">
        <v>2084</v>
      </c>
      <c r="K62" s="596">
        <v>1073387</v>
      </c>
      <c r="L62" s="597" t="s">
        <v>2085</v>
      </c>
      <c r="M62" s="596">
        <f>685725700/1000</f>
        <v>685725.7</v>
      </c>
      <c r="N62" s="597" t="s">
        <v>2085</v>
      </c>
      <c r="O62" s="596">
        <f>849298270/1000</f>
        <v>849298.27</v>
      </c>
      <c r="P62" s="597" t="s">
        <v>2083</v>
      </c>
      <c r="Q62" s="596">
        <f>164228097/1000</f>
        <v>164228.09700000001</v>
      </c>
      <c r="R62" s="593" t="s">
        <v>2086</v>
      </c>
      <c r="S62" s="596">
        <f>Q62+O62+M62+K62+I62</f>
        <v>2884809.0669999998</v>
      </c>
      <c r="T62" s="540" t="s">
        <v>2087</v>
      </c>
    </row>
    <row r="63" spans="1:20" ht="48" customHeight="1" x14ac:dyDescent="0.25">
      <c r="A63" s="599" t="s">
        <v>1915</v>
      </c>
      <c r="B63" s="599" t="s">
        <v>1920</v>
      </c>
      <c r="C63" s="600">
        <v>16</v>
      </c>
      <c r="D63" s="601"/>
      <c r="E63" s="602" t="s">
        <v>934</v>
      </c>
      <c r="F63" s="603" t="s">
        <v>2088</v>
      </c>
      <c r="G63" s="604" t="s">
        <v>217</v>
      </c>
      <c r="H63" s="605" t="s">
        <v>217</v>
      </c>
      <c r="I63" s="605" t="s">
        <v>217</v>
      </c>
      <c r="J63" s="606" t="s">
        <v>2089</v>
      </c>
      <c r="K63" s="607">
        <v>300000</v>
      </c>
      <c r="L63" s="605" t="s">
        <v>217</v>
      </c>
      <c r="M63" s="605" t="s">
        <v>217</v>
      </c>
      <c r="N63" s="605" t="s">
        <v>217</v>
      </c>
      <c r="O63" s="605" t="s">
        <v>217</v>
      </c>
      <c r="P63" s="606" t="s">
        <v>2089</v>
      </c>
      <c r="Q63" s="607">
        <f>300000000/1000</f>
        <v>300000</v>
      </c>
      <c r="R63" s="606"/>
      <c r="S63" s="607">
        <v>600000</v>
      </c>
      <c r="T63" s="608" t="s">
        <v>2087</v>
      </c>
    </row>
    <row r="64" spans="1:20" ht="33" customHeight="1" x14ac:dyDescent="0.25">
      <c r="A64" s="1459" t="s">
        <v>2090</v>
      </c>
      <c r="B64" s="1460"/>
      <c r="C64" s="1460"/>
      <c r="D64" s="1460"/>
      <c r="E64" s="1460"/>
      <c r="F64" s="1460"/>
      <c r="G64" s="1460"/>
      <c r="H64" s="1460"/>
      <c r="I64" s="1460"/>
      <c r="J64" s="1460"/>
      <c r="K64" s="1460"/>
      <c r="L64" s="1460"/>
      <c r="M64" s="1460"/>
      <c r="N64" s="1460"/>
      <c r="O64" s="1460"/>
      <c r="P64" s="1460"/>
      <c r="Q64" s="1460"/>
      <c r="R64" s="1460"/>
      <c r="S64" s="1460"/>
      <c r="T64" s="1461"/>
    </row>
    <row r="65" spans="1:49" ht="24.75" customHeight="1" x14ac:dyDescent="0.25">
      <c r="A65" s="1484" t="s">
        <v>2091</v>
      </c>
      <c r="B65" s="1485"/>
      <c r="C65" s="1485"/>
      <c r="D65" s="1485"/>
      <c r="E65" s="1485"/>
      <c r="F65" s="609"/>
      <c r="G65" s="610"/>
      <c r="H65" s="609"/>
      <c r="I65" s="609"/>
      <c r="J65" s="609"/>
      <c r="K65" s="609"/>
      <c r="L65" s="609"/>
      <c r="M65" s="609"/>
      <c r="N65" s="609"/>
      <c r="O65" s="609"/>
      <c r="P65" s="609"/>
      <c r="Q65" s="609"/>
      <c r="R65" s="609"/>
      <c r="S65" s="609"/>
      <c r="T65" s="611"/>
    </row>
    <row r="66" spans="1:49" s="617" customFormat="1" ht="66.75" customHeight="1" x14ac:dyDescent="0.25">
      <c r="A66" s="612">
        <v>14</v>
      </c>
      <c r="B66" s="612" t="s">
        <v>2033</v>
      </c>
      <c r="C66" s="612">
        <v>15</v>
      </c>
      <c r="D66" s="613"/>
      <c r="E66" s="557" t="s">
        <v>482</v>
      </c>
      <c r="F66" s="595" t="s">
        <v>2092</v>
      </c>
      <c r="G66" s="566" t="s">
        <v>349</v>
      </c>
      <c r="H66" s="563" t="s">
        <v>349</v>
      </c>
      <c r="I66" s="558">
        <v>75000</v>
      </c>
      <c r="J66" s="559" t="s">
        <v>2093</v>
      </c>
      <c r="K66" s="614">
        <v>2000000</v>
      </c>
      <c r="L66" s="615" t="s">
        <v>349</v>
      </c>
      <c r="M66" s="614">
        <v>90000</v>
      </c>
      <c r="N66" s="615" t="s">
        <v>349</v>
      </c>
      <c r="O66" s="614">
        <v>108000</v>
      </c>
      <c r="P66" s="615" t="s">
        <v>349</v>
      </c>
      <c r="Q66" s="614">
        <v>129600</v>
      </c>
      <c r="R66" s="615" t="s">
        <v>349</v>
      </c>
      <c r="S66" s="616">
        <v>129600</v>
      </c>
      <c r="T66" s="562" t="s">
        <v>2094</v>
      </c>
    </row>
    <row r="67" spans="1:49" s="617" customFormat="1" ht="48.75" customHeight="1" x14ac:dyDescent="0.25">
      <c r="A67" s="618">
        <v>14</v>
      </c>
      <c r="B67" s="618" t="s">
        <v>2033</v>
      </c>
      <c r="C67" s="618">
        <v>16</v>
      </c>
      <c r="D67" s="619"/>
      <c r="E67" s="620" t="s">
        <v>454</v>
      </c>
      <c r="F67" s="621" t="s">
        <v>2095</v>
      </c>
      <c r="G67" s="622">
        <v>0</v>
      </c>
      <c r="H67" s="622" t="s">
        <v>2096</v>
      </c>
      <c r="I67" s="623">
        <v>85000</v>
      </c>
      <c r="J67" s="622" t="s">
        <v>2096</v>
      </c>
      <c r="K67" s="624">
        <v>97750</v>
      </c>
      <c r="L67" s="622" t="s">
        <v>2096</v>
      </c>
      <c r="M67" s="625">
        <f>112412500/1000</f>
        <v>112412.5</v>
      </c>
      <c r="N67" s="622" t="s">
        <v>2096</v>
      </c>
      <c r="O67" s="625">
        <f>129374300/1000</f>
        <v>129374.3</v>
      </c>
      <c r="P67" s="622" t="s">
        <v>2096</v>
      </c>
      <c r="Q67" s="625">
        <f>148665500/1000</f>
        <v>148665.5</v>
      </c>
      <c r="R67" s="622" t="s">
        <v>2096</v>
      </c>
      <c r="S67" s="625">
        <f>148665500/1000</f>
        <v>148665.5</v>
      </c>
      <c r="T67" s="626" t="s">
        <v>2094</v>
      </c>
    </row>
    <row r="68" spans="1:49" s="617" customFormat="1" ht="60.75" customHeight="1" x14ac:dyDescent="0.25">
      <c r="A68" s="612">
        <v>14</v>
      </c>
      <c r="B68" s="612" t="s">
        <v>2033</v>
      </c>
      <c r="C68" s="612">
        <v>17</v>
      </c>
      <c r="D68" s="613"/>
      <c r="E68" s="557" t="s">
        <v>468</v>
      </c>
      <c r="F68" s="595" t="s">
        <v>2097</v>
      </c>
      <c r="G68" s="563">
        <v>0</v>
      </c>
      <c r="H68" s="563" t="s">
        <v>2096</v>
      </c>
      <c r="I68" s="627">
        <v>60000</v>
      </c>
      <c r="J68" s="563" t="s">
        <v>2096</v>
      </c>
      <c r="K68" s="628">
        <v>96000</v>
      </c>
      <c r="L68" s="563" t="s">
        <v>2096</v>
      </c>
      <c r="M68" s="629">
        <v>153600</v>
      </c>
      <c r="N68" s="563" t="s">
        <v>2096</v>
      </c>
      <c r="O68" s="629">
        <v>245760</v>
      </c>
      <c r="P68" s="563" t="s">
        <v>2096</v>
      </c>
      <c r="Q68" s="629">
        <v>393216</v>
      </c>
      <c r="R68" s="563" t="s">
        <v>2096</v>
      </c>
      <c r="S68" s="629">
        <v>393216</v>
      </c>
      <c r="T68" s="562" t="s">
        <v>2094</v>
      </c>
    </row>
    <row r="69" spans="1:49" s="637" customFormat="1" ht="27" customHeight="1" x14ac:dyDescent="0.25">
      <c r="A69" s="1486" t="s">
        <v>367</v>
      </c>
      <c r="B69" s="1487"/>
      <c r="C69" s="1487"/>
      <c r="D69" s="1487"/>
      <c r="E69" s="1487"/>
      <c r="F69" s="630"/>
      <c r="G69" s="631"/>
      <c r="H69" s="632"/>
      <c r="I69" s="633"/>
      <c r="J69" s="632"/>
      <c r="K69" s="634"/>
      <c r="L69" s="632"/>
      <c r="M69" s="635"/>
      <c r="N69" s="632"/>
      <c r="O69" s="635"/>
      <c r="P69" s="632"/>
      <c r="Q69" s="635"/>
      <c r="R69" s="632"/>
      <c r="S69" s="635"/>
      <c r="T69" s="636"/>
    </row>
    <row r="70" spans="1:49" s="446" customFormat="1" ht="98.25" customHeight="1" x14ac:dyDescent="0.25">
      <c r="A70" s="638">
        <v>15</v>
      </c>
      <c r="B70" s="639">
        <v>1</v>
      </c>
      <c r="C70" s="638">
        <v>15</v>
      </c>
      <c r="D70" s="640"/>
      <c r="E70" s="620" t="s">
        <v>372</v>
      </c>
      <c r="F70" s="620" t="s">
        <v>2098</v>
      </c>
      <c r="G70" s="620"/>
      <c r="H70" s="641" t="s">
        <v>2099</v>
      </c>
      <c r="I70" s="642">
        <v>249000</v>
      </c>
      <c r="J70" s="643" t="s">
        <v>2100</v>
      </c>
      <c r="K70" s="642">
        <v>263000</v>
      </c>
      <c r="L70" s="644" t="s">
        <v>2101</v>
      </c>
      <c r="M70" s="642">
        <v>215000</v>
      </c>
      <c r="N70" s="643" t="s">
        <v>2100</v>
      </c>
      <c r="O70" s="642">
        <v>292000</v>
      </c>
      <c r="P70" s="645" t="s">
        <v>2102</v>
      </c>
      <c r="Q70" s="642">
        <v>287000</v>
      </c>
      <c r="R70" s="645" t="s">
        <v>2102</v>
      </c>
      <c r="S70" s="642">
        <v>287000</v>
      </c>
      <c r="T70" s="620" t="s">
        <v>2103</v>
      </c>
    </row>
    <row r="71" spans="1:49" s="446" customFormat="1" ht="132" customHeight="1" x14ac:dyDescent="0.25">
      <c r="A71" s="646">
        <v>15</v>
      </c>
      <c r="B71" s="646">
        <v>1</v>
      </c>
      <c r="C71" s="646">
        <v>16</v>
      </c>
      <c r="D71" s="541"/>
      <c r="E71" s="531" t="s">
        <v>376</v>
      </c>
      <c r="F71" s="557" t="s">
        <v>2104</v>
      </c>
      <c r="G71" s="557"/>
      <c r="H71" s="647" t="s">
        <v>2105</v>
      </c>
      <c r="I71" s="648">
        <v>115000</v>
      </c>
      <c r="J71" s="647" t="s">
        <v>2106</v>
      </c>
      <c r="K71" s="648">
        <v>313000</v>
      </c>
      <c r="L71" s="649" t="s">
        <v>2107</v>
      </c>
      <c r="M71" s="648">
        <v>342500</v>
      </c>
      <c r="N71" s="647" t="s">
        <v>2108</v>
      </c>
      <c r="O71" s="648">
        <v>440000</v>
      </c>
      <c r="P71" s="649" t="s">
        <v>2109</v>
      </c>
      <c r="Q71" s="648">
        <v>462000</v>
      </c>
      <c r="R71" s="649" t="s">
        <v>2109</v>
      </c>
      <c r="S71" s="648">
        <v>462000</v>
      </c>
      <c r="T71" s="620" t="s">
        <v>2103</v>
      </c>
    </row>
    <row r="72" spans="1:49" s="650" customFormat="1" ht="216.75" customHeight="1" x14ac:dyDescent="0.25">
      <c r="A72" s="646">
        <v>15</v>
      </c>
      <c r="B72" s="646">
        <v>1</v>
      </c>
      <c r="C72" s="646">
        <v>17</v>
      </c>
      <c r="D72" s="541"/>
      <c r="E72" s="531" t="s">
        <v>366</v>
      </c>
      <c r="F72" s="557" t="s">
        <v>2110</v>
      </c>
      <c r="G72" s="557"/>
      <c r="H72" s="647" t="s">
        <v>2111</v>
      </c>
      <c r="I72" s="648">
        <v>434000</v>
      </c>
      <c r="J72" s="647" t="s">
        <v>2112</v>
      </c>
      <c r="K72" s="648">
        <v>673500</v>
      </c>
      <c r="L72" s="649" t="s">
        <v>2113</v>
      </c>
      <c r="M72" s="648">
        <v>764400</v>
      </c>
      <c r="N72" s="649" t="s">
        <v>2114</v>
      </c>
      <c r="O72" s="648">
        <v>787000</v>
      </c>
      <c r="P72" s="649" t="s">
        <v>2115</v>
      </c>
      <c r="Q72" s="648">
        <v>765000</v>
      </c>
      <c r="R72" s="649" t="s">
        <v>2115</v>
      </c>
      <c r="S72" s="648">
        <v>765000</v>
      </c>
      <c r="T72" s="620" t="s">
        <v>2103</v>
      </c>
    </row>
    <row r="73" spans="1:49" s="651" customFormat="1" ht="307.5" customHeight="1" x14ac:dyDescent="0.25">
      <c r="A73" s="612">
        <v>15</v>
      </c>
      <c r="B73" s="612">
        <v>1</v>
      </c>
      <c r="C73" s="612">
        <v>18</v>
      </c>
      <c r="D73" s="541"/>
      <c r="E73" s="595" t="s">
        <v>409</v>
      </c>
      <c r="F73" s="557" t="s">
        <v>2116</v>
      </c>
      <c r="G73" s="557"/>
      <c r="H73" s="647" t="s">
        <v>2117</v>
      </c>
      <c r="I73" s="648">
        <v>472381</v>
      </c>
      <c r="J73" s="647" t="s">
        <v>2118</v>
      </c>
      <c r="K73" s="648">
        <v>919000</v>
      </c>
      <c r="L73" s="649" t="s">
        <v>2118</v>
      </c>
      <c r="M73" s="648">
        <v>1011000</v>
      </c>
      <c r="N73" s="649" t="s">
        <v>2119</v>
      </c>
      <c r="O73" s="648">
        <v>980000</v>
      </c>
      <c r="P73" s="649" t="s">
        <v>2120</v>
      </c>
      <c r="Q73" s="648">
        <v>1028000</v>
      </c>
      <c r="R73" s="649" t="s">
        <v>2120</v>
      </c>
      <c r="S73" s="648">
        <v>1028000</v>
      </c>
      <c r="T73" s="620" t="s">
        <v>2103</v>
      </c>
    </row>
    <row r="74" spans="1:49" ht="37.5" customHeight="1" x14ac:dyDescent="0.25">
      <c r="A74" s="1459" t="s">
        <v>2121</v>
      </c>
      <c r="B74" s="1460"/>
      <c r="C74" s="1460"/>
      <c r="D74" s="1460"/>
      <c r="E74" s="1460"/>
      <c r="F74" s="1460"/>
      <c r="G74" s="1460"/>
      <c r="H74" s="1460"/>
      <c r="I74" s="1460"/>
      <c r="J74" s="1460"/>
      <c r="K74" s="1460"/>
      <c r="L74" s="1460"/>
      <c r="M74" s="1460"/>
      <c r="N74" s="1460"/>
      <c r="O74" s="1460"/>
      <c r="P74" s="1460"/>
      <c r="Q74" s="1460"/>
      <c r="R74" s="1460"/>
      <c r="S74" s="1460"/>
      <c r="T74" s="1461"/>
    </row>
    <row r="75" spans="1:49" ht="27.75" customHeight="1" x14ac:dyDescent="0.25">
      <c r="A75" s="1488" t="s">
        <v>491</v>
      </c>
      <c r="B75" s="1489"/>
      <c r="C75" s="1489"/>
      <c r="D75" s="1489"/>
      <c r="E75" s="1490"/>
      <c r="F75" s="652"/>
      <c r="G75" s="653"/>
      <c r="H75" s="654"/>
      <c r="I75" s="655"/>
      <c r="J75" s="654"/>
      <c r="K75" s="655"/>
      <c r="L75" s="654"/>
      <c r="M75" s="655"/>
      <c r="N75" s="654"/>
      <c r="O75" s="655"/>
      <c r="P75" s="654"/>
      <c r="Q75" s="655"/>
      <c r="R75" s="654"/>
      <c r="S75" s="655"/>
      <c r="T75" s="656"/>
    </row>
    <row r="76" spans="1:49" ht="54.75" customHeight="1" x14ac:dyDescent="0.25">
      <c r="A76" s="437" t="s">
        <v>2057</v>
      </c>
      <c r="B76" s="438" t="s">
        <v>2033</v>
      </c>
      <c r="C76" s="437">
        <v>15</v>
      </c>
      <c r="D76" s="438"/>
      <c r="E76" s="657" t="s">
        <v>501</v>
      </c>
      <c r="F76" s="658" t="s">
        <v>2122</v>
      </c>
      <c r="G76" s="659" t="s">
        <v>13</v>
      </c>
      <c r="H76" s="659" t="s">
        <v>13</v>
      </c>
      <c r="I76" s="660">
        <v>500000</v>
      </c>
      <c r="J76" s="659" t="s">
        <v>13</v>
      </c>
      <c r="K76" s="660">
        <v>500000</v>
      </c>
      <c r="L76" s="659" t="s">
        <v>14</v>
      </c>
      <c r="M76" s="660">
        <v>750000</v>
      </c>
      <c r="N76" s="659" t="s">
        <v>14</v>
      </c>
      <c r="O76" s="660">
        <v>750000</v>
      </c>
      <c r="P76" s="659" t="s">
        <v>14</v>
      </c>
      <c r="Q76" s="660">
        <v>750000</v>
      </c>
      <c r="R76" s="659" t="s">
        <v>14</v>
      </c>
      <c r="S76" s="661">
        <v>750000</v>
      </c>
      <c r="T76" s="662" t="s">
        <v>2123</v>
      </c>
    </row>
    <row r="77" spans="1:49" ht="105.75" customHeight="1" x14ac:dyDescent="0.25">
      <c r="A77" s="437" t="s">
        <v>2057</v>
      </c>
      <c r="B77" s="438" t="s">
        <v>2033</v>
      </c>
      <c r="C77" s="437">
        <v>16</v>
      </c>
      <c r="D77" s="438"/>
      <c r="E77" s="657" t="s">
        <v>490</v>
      </c>
      <c r="F77" s="663" t="s">
        <v>2124</v>
      </c>
      <c r="G77" s="539">
        <v>0.5</v>
      </c>
      <c r="H77" s="536" t="s">
        <v>2125</v>
      </c>
      <c r="I77" s="664">
        <v>1500000</v>
      </c>
      <c r="J77" s="539">
        <v>0.5</v>
      </c>
      <c r="K77" s="664">
        <v>5600000</v>
      </c>
      <c r="L77" s="539" t="s">
        <v>2126</v>
      </c>
      <c r="M77" s="664">
        <v>7800000</v>
      </c>
      <c r="N77" s="539">
        <v>0.75</v>
      </c>
      <c r="O77" s="664">
        <v>8500000</v>
      </c>
      <c r="P77" s="539">
        <v>0.75</v>
      </c>
      <c r="Q77" s="664">
        <v>9500000</v>
      </c>
      <c r="R77" s="539">
        <v>0.75</v>
      </c>
      <c r="S77" s="664">
        <v>12500000</v>
      </c>
      <c r="T77" s="662" t="s">
        <v>2123</v>
      </c>
    </row>
    <row r="78" spans="1:49" ht="44.25" customHeight="1" x14ac:dyDescent="0.25">
      <c r="A78" s="437" t="s">
        <v>2057</v>
      </c>
      <c r="B78" s="438" t="s">
        <v>2033</v>
      </c>
      <c r="C78" s="437">
        <v>17</v>
      </c>
      <c r="D78" s="438"/>
      <c r="E78" s="657" t="s">
        <v>2127</v>
      </c>
      <c r="F78" s="441" t="s">
        <v>2128</v>
      </c>
      <c r="G78" s="536">
        <v>2</v>
      </c>
      <c r="H78" s="536">
        <v>2</v>
      </c>
      <c r="I78" s="664">
        <v>1000000</v>
      </c>
      <c r="J78" s="536">
        <v>2</v>
      </c>
      <c r="K78" s="664">
        <v>1000000</v>
      </c>
      <c r="L78" s="536">
        <v>4</v>
      </c>
      <c r="M78" s="664">
        <v>2000000</v>
      </c>
      <c r="N78" s="536">
        <v>5</v>
      </c>
      <c r="O78" s="664">
        <v>3000000</v>
      </c>
      <c r="P78" s="536">
        <v>6</v>
      </c>
      <c r="Q78" s="664">
        <v>4000000</v>
      </c>
      <c r="R78" s="536">
        <v>6</v>
      </c>
      <c r="S78" s="664">
        <v>4000000</v>
      </c>
      <c r="T78" s="662" t="s">
        <v>2123</v>
      </c>
    </row>
    <row r="79" spans="1:49" s="526" customFormat="1" ht="24.75" customHeight="1" x14ac:dyDescent="0.25">
      <c r="A79" s="503" t="s">
        <v>1847</v>
      </c>
      <c r="B79" s="481"/>
      <c r="C79" s="481"/>
      <c r="D79" s="482"/>
      <c r="E79" s="484"/>
      <c r="F79" s="484"/>
      <c r="G79" s="484"/>
      <c r="H79" s="485"/>
      <c r="I79" s="485"/>
      <c r="J79" s="485"/>
      <c r="K79" s="485"/>
      <c r="L79" s="485"/>
      <c r="M79" s="485"/>
      <c r="N79" s="485"/>
      <c r="O79" s="485"/>
      <c r="P79" s="485"/>
      <c r="Q79" s="485"/>
      <c r="R79" s="485"/>
      <c r="S79" s="485"/>
      <c r="T79" s="484"/>
    </row>
    <row r="80" spans="1:49" s="474" customFormat="1" ht="99" customHeight="1" x14ac:dyDescent="0.25">
      <c r="A80" s="665" t="s">
        <v>1909</v>
      </c>
      <c r="B80" s="509" t="s">
        <v>1920</v>
      </c>
      <c r="C80" s="520">
        <v>16</v>
      </c>
      <c r="D80" s="520"/>
      <c r="E80" s="457" t="s">
        <v>299</v>
      </c>
      <c r="F80" s="666" t="s">
        <v>2129</v>
      </c>
      <c r="G80" s="462"/>
      <c r="H80" s="667">
        <v>0.3</v>
      </c>
      <c r="I80" s="473">
        <v>186278</v>
      </c>
      <c r="J80" s="472">
        <v>0.4</v>
      </c>
      <c r="K80" s="668">
        <v>250000</v>
      </c>
      <c r="L80" s="472">
        <v>0.45</v>
      </c>
      <c r="M80" s="668">
        <v>150000</v>
      </c>
      <c r="N80" s="472">
        <v>0.6</v>
      </c>
      <c r="O80" s="668">
        <v>100000</v>
      </c>
      <c r="P80" s="472">
        <v>0.75</v>
      </c>
      <c r="Q80" s="523">
        <v>110000</v>
      </c>
      <c r="R80" s="669">
        <v>0.8</v>
      </c>
      <c r="S80" s="523">
        <v>110000</v>
      </c>
      <c r="T80" s="518" t="s">
        <v>94</v>
      </c>
      <c r="U80" s="670"/>
      <c r="V80" s="670"/>
      <c r="W80" s="670"/>
      <c r="X80" s="670"/>
      <c r="Y80" s="670"/>
      <c r="Z80" s="670"/>
      <c r="AA80" s="670"/>
      <c r="AB80" s="670"/>
      <c r="AC80" s="670"/>
      <c r="AD80" s="670"/>
      <c r="AE80" s="670"/>
      <c r="AF80" s="670"/>
      <c r="AG80" s="670"/>
      <c r="AH80" s="670"/>
      <c r="AI80" s="670"/>
      <c r="AJ80" s="670"/>
      <c r="AK80" s="670"/>
      <c r="AL80" s="670"/>
      <c r="AM80" s="670"/>
      <c r="AN80" s="670"/>
      <c r="AO80" s="670"/>
      <c r="AP80" s="670"/>
      <c r="AQ80" s="670"/>
      <c r="AR80" s="670"/>
      <c r="AS80" s="670"/>
      <c r="AT80" s="670"/>
      <c r="AU80" s="670"/>
      <c r="AV80" s="670"/>
      <c r="AW80" s="670"/>
    </row>
    <row r="81" spans="1:49" s="682" customFormat="1" ht="92.25" customHeight="1" x14ac:dyDescent="0.25">
      <c r="A81" s="671" t="s">
        <v>1909</v>
      </c>
      <c r="B81" s="671" t="s">
        <v>1920</v>
      </c>
      <c r="C81" s="672">
        <v>15</v>
      </c>
      <c r="D81" s="672"/>
      <c r="E81" s="673" t="s">
        <v>91</v>
      </c>
      <c r="F81" s="557" t="s">
        <v>2130</v>
      </c>
      <c r="G81" s="674"/>
      <c r="H81" s="675" t="s">
        <v>2131</v>
      </c>
      <c r="I81" s="676">
        <f>280525525/1000</f>
        <v>280525.52500000002</v>
      </c>
      <c r="J81" s="675" t="s">
        <v>2131</v>
      </c>
      <c r="K81" s="677">
        <f>308578077.5/1000</f>
        <v>308578.07750000001</v>
      </c>
      <c r="L81" s="675" t="s">
        <v>2131</v>
      </c>
      <c r="M81" s="677">
        <f>339435885.25/1000</f>
        <v>339435.88524999999</v>
      </c>
      <c r="N81" s="675" t="s">
        <v>2131</v>
      </c>
      <c r="O81" s="677">
        <f>373379473.775/1000</f>
        <v>373379.47377499996</v>
      </c>
      <c r="P81" s="675" t="s">
        <v>2131</v>
      </c>
      <c r="Q81" s="678">
        <f>410717421.1525/1000</f>
        <v>410717.42115249997</v>
      </c>
      <c r="R81" s="679" t="s">
        <v>2132</v>
      </c>
      <c r="S81" s="678">
        <f>410717421.1525/1000</f>
        <v>410717.42115249997</v>
      </c>
      <c r="T81" s="680" t="s">
        <v>94</v>
      </c>
      <c r="U81" s="681"/>
      <c r="V81" s="681"/>
      <c r="W81" s="681"/>
      <c r="X81" s="681"/>
      <c r="Y81" s="681"/>
      <c r="Z81" s="681"/>
      <c r="AA81" s="681"/>
      <c r="AB81" s="681"/>
      <c r="AC81" s="681"/>
      <c r="AD81" s="681"/>
      <c r="AE81" s="681"/>
      <c r="AF81" s="681"/>
      <c r="AG81" s="681"/>
      <c r="AH81" s="681"/>
      <c r="AI81" s="681"/>
      <c r="AJ81" s="681"/>
      <c r="AK81" s="681"/>
      <c r="AL81" s="681"/>
      <c r="AM81" s="681"/>
      <c r="AN81" s="681"/>
      <c r="AO81" s="681"/>
      <c r="AP81" s="681"/>
      <c r="AQ81" s="681"/>
      <c r="AR81" s="681"/>
      <c r="AS81" s="681"/>
      <c r="AT81" s="681"/>
      <c r="AU81" s="681"/>
      <c r="AV81" s="681"/>
      <c r="AW81" s="681"/>
    </row>
    <row r="82" spans="1:49" ht="94.5" customHeight="1" x14ac:dyDescent="0.25">
      <c r="A82" s="671" t="s">
        <v>1909</v>
      </c>
      <c r="B82" s="683" t="s">
        <v>1920</v>
      </c>
      <c r="C82" s="684">
        <v>16</v>
      </c>
      <c r="D82" s="684"/>
      <c r="E82" s="685" t="s">
        <v>93</v>
      </c>
      <c r="F82" s="557" t="s">
        <v>2133</v>
      </c>
      <c r="G82" s="686">
        <v>7.3400000000000007E-2</v>
      </c>
      <c r="H82" s="687">
        <v>1.2999999999999999E-3</v>
      </c>
      <c r="I82" s="688">
        <f>2076408475/1000</f>
        <v>2076408.4750000001</v>
      </c>
      <c r="J82" s="687">
        <v>1.2999999999999999E-3</v>
      </c>
      <c r="K82" s="677">
        <f>2284049322.5/1000</f>
        <v>2284049.3224999998</v>
      </c>
      <c r="L82" s="687">
        <v>1.2999999999999999E-3</v>
      </c>
      <c r="M82" s="677">
        <f>2512454254.75/1000</f>
        <v>2512454.2547499998</v>
      </c>
      <c r="N82" s="687">
        <v>1.2999999999999999E-3</v>
      </c>
      <c r="O82" s="677">
        <f>2763699680.225/1000</f>
        <v>2763699.6802249998</v>
      </c>
      <c r="P82" s="687">
        <v>1.2999999999999999E-3</v>
      </c>
      <c r="Q82" s="677">
        <f>3040069648.2475/1000</f>
        <v>3040069.6482475</v>
      </c>
      <c r="R82" s="689">
        <v>0.08</v>
      </c>
      <c r="S82" s="677">
        <f>3040069648.2475/1000</f>
        <v>3040069.6482475</v>
      </c>
      <c r="T82" s="680" t="s">
        <v>94</v>
      </c>
    </row>
    <row r="83" spans="1:49" ht="91.5" customHeight="1" x14ac:dyDescent="0.25">
      <c r="A83" s="671" t="s">
        <v>1909</v>
      </c>
      <c r="B83" s="690" t="s">
        <v>1920</v>
      </c>
      <c r="C83" s="691">
        <v>19</v>
      </c>
      <c r="D83" s="691"/>
      <c r="E83" s="685" t="s">
        <v>95</v>
      </c>
      <c r="F83" s="557" t="s">
        <v>2134</v>
      </c>
      <c r="G83" s="692" t="s">
        <v>2135</v>
      </c>
      <c r="H83" s="675" t="s">
        <v>2136</v>
      </c>
      <c r="I83" s="688">
        <v>236913000</v>
      </c>
      <c r="J83" s="675" t="s">
        <v>2136</v>
      </c>
      <c r="K83" s="677">
        <v>260604300</v>
      </c>
      <c r="L83" s="675" t="s">
        <v>2136</v>
      </c>
      <c r="M83" s="677">
        <f>286664730/1000</f>
        <v>286664.73</v>
      </c>
      <c r="N83" s="675" t="s">
        <v>2136</v>
      </c>
      <c r="O83" s="677">
        <f>315331203/1000</f>
        <v>315331.20299999998</v>
      </c>
      <c r="P83" s="675" t="s">
        <v>2136</v>
      </c>
      <c r="Q83" s="677">
        <f>346864323.3/1000</f>
        <v>346864.32329999999</v>
      </c>
      <c r="R83" s="693" t="s">
        <v>2137</v>
      </c>
      <c r="S83" s="677">
        <f>346864323.3/1000</f>
        <v>346864.32329999999</v>
      </c>
      <c r="T83" s="680" t="s">
        <v>94</v>
      </c>
    </row>
    <row r="84" spans="1:49" ht="102" customHeight="1" x14ac:dyDescent="0.25">
      <c r="A84" s="694" t="s">
        <v>1909</v>
      </c>
      <c r="B84" s="690" t="s">
        <v>1920</v>
      </c>
      <c r="C84" s="691">
        <v>20</v>
      </c>
      <c r="D84" s="690"/>
      <c r="E84" s="673" t="s">
        <v>96</v>
      </c>
      <c r="F84" s="695" t="s">
        <v>2138</v>
      </c>
      <c r="G84" s="696"/>
      <c r="H84" s="697" t="s">
        <v>2139</v>
      </c>
      <c r="I84" s="698">
        <f>153183000/1000</f>
        <v>153183</v>
      </c>
      <c r="J84" s="699" t="s">
        <v>2140</v>
      </c>
      <c r="K84" s="700">
        <f>168501300/1000</f>
        <v>168501.3</v>
      </c>
      <c r="L84" s="697" t="s">
        <v>2140</v>
      </c>
      <c r="M84" s="700">
        <f>185351430/1000</f>
        <v>185351.43</v>
      </c>
      <c r="N84" s="699" t="s">
        <v>2140</v>
      </c>
      <c r="O84" s="700">
        <f>203886573/1000</f>
        <v>203886.573</v>
      </c>
      <c r="P84" s="697" t="s">
        <v>2140</v>
      </c>
      <c r="Q84" s="700">
        <f>224275230.3/1000</f>
        <v>224275.23030000002</v>
      </c>
      <c r="R84" s="701" t="s">
        <v>2141</v>
      </c>
      <c r="S84" s="700">
        <f>224275230.3/1000</f>
        <v>224275.23030000002</v>
      </c>
      <c r="T84" s="702" t="s">
        <v>94</v>
      </c>
    </row>
    <row r="85" spans="1:49" s="708" customFormat="1" ht="27.75" customHeight="1" x14ac:dyDescent="0.25">
      <c r="A85" s="703" t="s">
        <v>422</v>
      </c>
      <c r="B85" s="704"/>
      <c r="C85" s="704"/>
      <c r="D85" s="705"/>
      <c r="E85" s="706"/>
      <c r="F85" s="707"/>
      <c r="G85" s="706"/>
      <c r="H85" s="707"/>
      <c r="I85" s="707"/>
      <c r="J85" s="707"/>
      <c r="K85" s="707"/>
      <c r="L85" s="707"/>
      <c r="M85" s="707"/>
      <c r="N85" s="707"/>
      <c r="O85" s="707"/>
      <c r="P85" s="707"/>
      <c r="Q85" s="707"/>
      <c r="R85" s="707"/>
      <c r="S85" s="707"/>
      <c r="T85" s="706"/>
    </row>
    <row r="86" spans="1:49" s="713" customFormat="1" ht="69.75" customHeight="1" x14ac:dyDescent="0.25">
      <c r="A86" s="709">
        <v>1</v>
      </c>
      <c r="B86" s="709">
        <v>20</v>
      </c>
      <c r="C86" s="709">
        <v>16</v>
      </c>
      <c r="D86" s="709"/>
      <c r="E86" s="550" t="s">
        <v>2142</v>
      </c>
      <c r="F86" s="550" t="s">
        <v>2143</v>
      </c>
      <c r="G86" s="445">
        <v>0</v>
      </c>
      <c r="H86" s="710" t="s">
        <v>2144</v>
      </c>
      <c r="I86" s="711">
        <v>450000</v>
      </c>
      <c r="J86" s="712" t="s">
        <v>2145</v>
      </c>
      <c r="K86" s="711">
        <v>750000</v>
      </c>
      <c r="L86" s="710" t="s">
        <v>2084</v>
      </c>
      <c r="M86" s="711">
        <v>100000</v>
      </c>
      <c r="N86" s="710" t="s">
        <v>2084</v>
      </c>
      <c r="O86" s="711">
        <v>126000</v>
      </c>
      <c r="P86" s="710" t="s">
        <v>2146</v>
      </c>
      <c r="Q86" s="711">
        <v>120000</v>
      </c>
      <c r="R86" s="710" t="s">
        <v>2146</v>
      </c>
      <c r="S86" s="711">
        <v>120000</v>
      </c>
      <c r="T86" s="445" t="s">
        <v>2147</v>
      </c>
    </row>
    <row r="87" spans="1:49" ht="67.5" customHeight="1" x14ac:dyDescent="0.25">
      <c r="A87" s="593">
        <v>1</v>
      </c>
      <c r="B87" s="593">
        <v>20</v>
      </c>
      <c r="C87" s="593">
        <v>15</v>
      </c>
      <c r="D87" s="593"/>
      <c r="E87" s="714" t="s">
        <v>2148</v>
      </c>
      <c r="F87" s="447" t="s">
        <v>2149</v>
      </c>
      <c r="G87" s="445">
        <v>0</v>
      </c>
      <c r="H87" s="539" t="s">
        <v>2150</v>
      </c>
      <c r="I87" s="715">
        <v>215000</v>
      </c>
      <c r="J87" s="539" t="s">
        <v>2151</v>
      </c>
      <c r="K87" s="715">
        <v>540000</v>
      </c>
      <c r="L87" s="539" t="s">
        <v>2151</v>
      </c>
      <c r="M87" s="715">
        <v>450000</v>
      </c>
      <c r="N87" s="539" t="s">
        <v>2151</v>
      </c>
      <c r="O87" s="715">
        <v>500000</v>
      </c>
      <c r="P87" s="539" t="s">
        <v>2152</v>
      </c>
      <c r="Q87" s="715">
        <v>500000</v>
      </c>
      <c r="R87" s="539" t="s">
        <v>2152</v>
      </c>
      <c r="S87" s="715">
        <v>500000</v>
      </c>
      <c r="T87" s="445" t="s">
        <v>2147</v>
      </c>
    </row>
    <row r="88" spans="1:49" s="723" customFormat="1" ht="51.75" customHeight="1" x14ac:dyDescent="0.25">
      <c r="A88" s="593">
        <v>1</v>
      </c>
      <c r="B88" s="593">
        <v>20</v>
      </c>
      <c r="C88" s="592" t="s">
        <v>1908</v>
      </c>
      <c r="D88" s="593"/>
      <c r="E88" s="447" t="s">
        <v>436</v>
      </c>
      <c r="F88" s="716" t="s">
        <v>2153</v>
      </c>
      <c r="G88" s="445">
        <v>0</v>
      </c>
      <c r="H88" s="717" t="s">
        <v>2154</v>
      </c>
      <c r="I88" s="543">
        <v>35000</v>
      </c>
      <c r="J88" s="539" t="s">
        <v>2154</v>
      </c>
      <c r="K88" s="715">
        <v>35000</v>
      </c>
      <c r="L88" s="539" t="s">
        <v>2155</v>
      </c>
      <c r="M88" s="543">
        <v>30000</v>
      </c>
      <c r="N88" s="718" t="s">
        <v>217</v>
      </c>
      <c r="O88" s="719" t="s">
        <v>217</v>
      </c>
      <c r="P88" s="720" t="s">
        <v>217</v>
      </c>
      <c r="Q88" s="719" t="s">
        <v>217</v>
      </c>
      <c r="R88" s="721" t="s">
        <v>2156</v>
      </c>
      <c r="S88" s="722">
        <v>100000</v>
      </c>
      <c r="T88" s="445" t="s">
        <v>2147</v>
      </c>
    </row>
    <row r="89" spans="1:49" s="651" customFormat="1" ht="37.5" customHeight="1" x14ac:dyDescent="0.25">
      <c r="A89" s="1491" t="s">
        <v>220</v>
      </c>
      <c r="B89" s="1492"/>
      <c r="C89" s="1492"/>
      <c r="D89" s="1492"/>
      <c r="E89" s="1493"/>
      <c r="F89" s="724"/>
      <c r="G89" s="725"/>
      <c r="H89" s="724"/>
      <c r="I89" s="724"/>
      <c r="J89" s="724"/>
      <c r="K89" s="724"/>
      <c r="L89" s="724"/>
      <c r="M89" s="724"/>
      <c r="N89" s="724"/>
      <c r="O89" s="724"/>
      <c r="P89" s="724"/>
      <c r="Q89" s="724"/>
      <c r="R89" s="724"/>
      <c r="S89" s="724"/>
      <c r="T89" s="725"/>
    </row>
    <row r="90" spans="1:49" s="651" customFormat="1" ht="82.5" customHeight="1" x14ac:dyDescent="0.25">
      <c r="A90" s="437" t="s">
        <v>1920</v>
      </c>
      <c r="B90" s="437" t="s">
        <v>1909</v>
      </c>
      <c r="C90" s="438">
        <v>15</v>
      </c>
      <c r="D90" s="438"/>
      <c r="E90" s="726" t="s">
        <v>265</v>
      </c>
      <c r="F90" s="714" t="s">
        <v>2157</v>
      </c>
      <c r="G90" s="727">
        <v>0.37</v>
      </c>
      <c r="H90" s="539">
        <v>0.83</v>
      </c>
      <c r="I90" s="664">
        <f>623000000/1000</f>
        <v>623000</v>
      </c>
      <c r="J90" s="539">
        <v>0.86</v>
      </c>
      <c r="K90" s="480">
        <f>639000000/1000</f>
        <v>639000</v>
      </c>
      <c r="L90" s="539">
        <v>0.9</v>
      </c>
      <c r="M90" s="664">
        <f>670000000/1000</f>
        <v>670000</v>
      </c>
      <c r="N90" s="539">
        <v>0.9</v>
      </c>
      <c r="O90" s="664">
        <f>371000000/1000</f>
        <v>371000</v>
      </c>
      <c r="P90" s="539">
        <v>0.9</v>
      </c>
      <c r="Q90" s="664">
        <f>805000000/1000</f>
        <v>805000</v>
      </c>
      <c r="R90" s="539">
        <v>0.9</v>
      </c>
      <c r="S90" s="728">
        <f>805000000/1000</f>
        <v>805000</v>
      </c>
      <c r="T90" s="729" t="s">
        <v>266</v>
      </c>
    </row>
    <row r="91" spans="1:49" s="651" customFormat="1" ht="72" customHeight="1" x14ac:dyDescent="0.25">
      <c r="A91" s="437" t="s">
        <v>1920</v>
      </c>
      <c r="B91" s="437" t="s">
        <v>1909</v>
      </c>
      <c r="C91" s="438">
        <v>18</v>
      </c>
      <c r="D91" s="438"/>
      <c r="E91" s="730" t="s">
        <v>270</v>
      </c>
      <c r="F91" s="731" t="s">
        <v>2158</v>
      </c>
      <c r="G91" s="732">
        <v>0.6</v>
      </c>
      <c r="H91" s="539">
        <v>0.9</v>
      </c>
      <c r="I91" s="664">
        <f>156000000/1000</f>
        <v>156000</v>
      </c>
      <c r="J91" s="539">
        <v>0.93</v>
      </c>
      <c r="K91" s="480">
        <f>168000000/1000</f>
        <v>168000</v>
      </c>
      <c r="L91" s="539">
        <v>0.93</v>
      </c>
      <c r="M91" s="664">
        <f>180000000/1000</f>
        <v>180000</v>
      </c>
      <c r="N91" s="539">
        <v>0.93</v>
      </c>
      <c r="O91" s="664">
        <f>192000000/1000</f>
        <v>192000</v>
      </c>
      <c r="P91" s="539">
        <v>0.93</v>
      </c>
      <c r="Q91" s="664">
        <f>205000000/1000</f>
        <v>205000</v>
      </c>
      <c r="R91" s="539">
        <v>0.93</v>
      </c>
      <c r="S91" s="664">
        <f>205000000/1000</f>
        <v>205000</v>
      </c>
      <c r="T91" s="729" t="s">
        <v>266</v>
      </c>
    </row>
    <row r="92" spans="1:49" s="739" customFormat="1" ht="69.75" customHeight="1" x14ac:dyDescent="0.25">
      <c r="A92" s="437" t="s">
        <v>1920</v>
      </c>
      <c r="B92" s="437" t="s">
        <v>1909</v>
      </c>
      <c r="C92" s="438">
        <v>19</v>
      </c>
      <c r="D92" s="438"/>
      <c r="E92" s="733" t="s">
        <v>272</v>
      </c>
      <c r="F92" s="734" t="s">
        <v>2159</v>
      </c>
      <c r="G92" s="732">
        <v>0.08</v>
      </c>
      <c r="H92" s="735">
        <v>0.15</v>
      </c>
      <c r="I92" s="736">
        <f>210000000/1000</f>
        <v>210000</v>
      </c>
      <c r="J92" s="735">
        <v>0.16</v>
      </c>
      <c r="K92" s="737">
        <f>220000000/1000</f>
        <v>220000</v>
      </c>
      <c r="L92" s="735">
        <v>0.16</v>
      </c>
      <c r="M92" s="736">
        <f>230000000/1000</f>
        <v>230000</v>
      </c>
      <c r="N92" s="735">
        <v>0.17</v>
      </c>
      <c r="O92" s="738">
        <f>245000000/1000</f>
        <v>245000</v>
      </c>
      <c r="P92" s="735">
        <v>0.18</v>
      </c>
      <c r="Q92" s="738">
        <f>250000000/1000</f>
        <v>250000</v>
      </c>
      <c r="R92" s="735">
        <v>0.18</v>
      </c>
      <c r="S92" s="738">
        <f>250000000/1000</f>
        <v>250000</v>
      </c>
      <c r="T92" s="729" t="s">
        <v>266</v>
      </c>
    </row>
    <row r="93" spans="1:49" s="446" customFormat="1" ht="74.25" customHeight="1" x14ac:dyDescent="0.25">
      <c r="A93" s="437" t="s">
        <v>1920</v>
      </c>
      <c r="B93" s="437" t="s">
        <v>1909</v>
      </c>
      <c r="C93" s="438">
        <v>17</v>
      </c>
      <c r="D93" s="438"/>
      <c r="E93" s="733" t="s">
        <v>274</v>
      </c>
      <c r="F93" s="734" t="s">
        <v>2160</v>
      </c>
      <c r="G93" s="732">
        <v>0.3</v>
      </c>
      <c r="H93" s="740">
        <v>0.6</v>
      </c>
      <c r="I93" s="741">
        <f>210000000/1000</f>
        <v>210000</v>
      </c>
      <c r="J93" s="742">
        <v>0.63</v>
      </c>
      <c r="K93" s="743">
        <f>220000000/1000</f>
        <v>220000</v>
      </c>
      <c r="L93" s="744">
        <v>0.65</v>
      </c>
      <c r="M93" s="745">
        <f>230000000/1000</f>
        <v>230000</v>
      </c>
      <c r="N93" s="742">
        <v>0.67</v>
      </c>
      <c r="O93" s="741">
        <f>245000000/1000</f>
        <v>245000</v>
      </c>
      <c r="P93" s="742">
        <v>0.7</v>
      </c>
      <c r="Q93" s="741">
        <f>250000000/1000</f>
        <v>250000</v>
      </c>
      <c r="R93" s="742">
        <v>0.7</v>
      </c>
      <c r="S93" s="741">
        <f>250000000/1000</f>
        <v>250000</v>
      </c>
      <c r="T93" s="729" t="s">
        <v>266</v>
      </c>
    </row>
    <row r="94" spans="1:49" s="446" customFormat="1" ht="36" customHeight="1" x14ac:dyDescent="0.25">
      <c r="A94" s="503" t="s">
        <v>229</v>
      </c>
      <c r="B94" s="746"/>
      <c r="C94" s="746"/>
      <c r="D94" s="746"/>
      <c r="E94" s="747"/>
      <c r="F94" s="748"/>
      <c r="G94" s="747"/>
      <c r="H94" s="748"/>
      <c r="I94" s="748"/>
      <c r="J94" s="748"/>
      <c r="K94" s="748"/>
      <c r="L94" s="748"/>
      <c r="M94" s="748"/>
      <c r="N94" s="748"/>
      <c r="O94" s="748"/>
      <c r="P94" s="748"/>
      <c r="Q94" s="748"/>
      <c r="R94" s="748"/>
      <c r="S94" s="748"/>
      <c r="T94" s="747"/>
    </row>
    <row r="95" spans="1:49" s="446" customFormat="1" ht="72" customHeight="1" x14ac:dyDescent="0.25">
      <c r="A95" s="454">
        <v>21</v>
      </c>
      <c r="B95" s="454" t="s">
        <v>1909</v>
      </c>
      <c r="C95" s="509" t="s">
        <v>1920</v>
      </c>
      <c r="D95" s="520"/>
      <c r="E95" s="749" t="s">
        <v>276</v>
      </c>
      <c r="F95" s="750" t="s">
        <v>2161</v>
      </c>
      <c r="G95" s="751">
        <v>0.5</v>
      </c>
      <c r="H95" s="752">
        <v>0.9</v>
      </c>
      <c r="I95" s="753">
        <f>1295000000/1000</f>
        <v>1295000</v>
      </c>
      <c r="J95" s="754">
        <v>0.9</v>
      </c>
      <c r="K95" s="755">
        <f>1351000000/1000</f>
        <v>1351000</v>
      </c>
      <c r="L95" s="754">
        <v>0.9</v>
      </c>
      <c r="M95" s="753">
        <f>1449000000/1000</f>
        <v>1449000</v>
      </c>
      <c r="N95" s="754">
        <v>0.9</v>
      </c>
      <c r="O95" s="753">
        <f>1551000000/1000</f>
        <v>1551000</v>
      </c>
      <c r="P95" s="754">
        <v>0.9</v>
      </c>
      <c r="Q95" s="753">
        <f>1676000000/1000</f>
        <v>1676000</v>
      </c>
      <c r="R95" s="754">
        <v>0.9</v>
      </c>
      <c r="S95" s="753">
        <f>1676000000/1000</f>
        <v>1676000</v>
      </c>
      <c r="T95" s="756" t="s">
        <v>266</v>
      </c>
    </row>
    <row r="96" spans="1:49" ht="37.5" customHeight="1" x14ac:dyDescent="0.25">
      <c r="A96" s="1471" t="s">
        <v>212</v>
      </c>
      <c r="B96" s="1472"/>
      <c r="C96" s="1472"/>
      <c r="D96" s="1472"/>
      <c r="E96" s="1473"/>
      <c r="F96" s="695"/>
      <c r="G96" s="696"/>
      <c r="H96" s="697"/>
      <c r="I96" s="698" t="s">
        <v>2162</v>
      </c>
      <c r="J96" s="699"/>
      <c r="K96" s="700"/>
      <c r="L96" s="697"/>
      <c r="M96" s="700"/>
      <c r="N96" s="699"/>
      <c r="O96" s="700"/>
      <c r="P96" s="697"/>
      <c r="Q96" s="700"/>
      <c r="R96" s="701"/>
      <c r="S96" s="700"/>
      <c r="T96" s="702"/>
    </row>
    <row r="97" spans="1:20" ht="58.5" customHeight="1" x14ac:dyDescent="0.25">
      <c r="A97" s="757">
        <v>2</v>
      </c>
      <c r="B97" s="758" t="s">
        <v>2080</v>
      </c>
      <c r="C97" s="759" t="s">
        <v>2033</v>
      </c>
      <c r="D97" s="759">
        <v>20</v>
      </c>
      <c r="E97" s="760" t="s">
        <v>2163</v>
      </c>
      <c r="F97" s="695" t="s">
        <v>2164</v>
      </c>
      <c r="G97" s="751">
        <v>0.5</v>
      </c>
      <c r="H97" s="697" t="s">
        <v>2165</v>
      </c>
      <c r="I97" s="698">
        <v>184815000</v>
      </c>
      <c r="J97" s="699" t="s">
        <v>2166</v>
      </c>
      <c r="K97" s="700">
        <v>2032393214</v>
      </c>
      <c r="L97" s="699" t="s">
        <v>2167</v>
      </c>
      <c r="M97" s="700">
        <v>2224632535</v>
      </c>
      <c r="N97" s="699" t="s">
        <v>2168</v>
      </c>
      <c r="O97" s="700">
        <v>2176508147</v>
      </c>
      <c r="P97" s="699" t="s">
        <v>2169</v>
      </c>
      <c r="Q97" s="700">
        <v>1838539285</v>
      </c>
      <c r="R97" s="699" t="s">
        <v>2169</v>
      </c>
      <c r="S97" s="700">
        <v>1838539285</v>
      </c>
      <c r="T97" s="729" t="s">
        <v>266</v>
      </c>
    </row>
    <row r="98" spans="1:20" s="463" customFormat="1" ht="42" customHeight="1" x14ac:dyDescent="0.25">
      <c r="A98" s="1494" t="s">
        <v>205</v>
      </c>
      <c r="B98" s="1494"/>
      <c r="C98" s="1494"/>
      <c r="D98" s="1494"/>
      <c r="E98" s="1494"/>
      <c r="F98" s="1494"/>
      <c r="G98" s="761"/>
      <c r="H98" s="762"/>
      <c r="I98" s="763"/>
      <c r="J98" s="764"/>
      <c r="K98" s="765"/>
      <c r="L98" s="764"/>
      <c r="M98" s="763"/>
      <c r="N98" s="764"/>
      <c r="O98" s="763"/>
      <c r="P98" s="764"/>
      <c r="Q98" s="763"/>
      <c r="R98" s="764"/>
      <c r="S98" s="763"/>
      <c r="T98" s="766"/>
    </row>
    <row r="99" spans="1:20" s="773" customFormat="1" ht="57.75" customHeight="1" x14ac:dyDescent="0.25">
      <c r="A99" s="438">
        <v>2</v>
      </c>
      <c r="B99" s="437" t="s">
        <v>1920</v>
      </c>
      <c r="C99" s="438">
        <v>15</v>
      </c>
      <c r="D99" s="767"/>
      <c r="E99" s="714" t="s">
        <v>204</v>
      </c>
      <c r="F99" s="714" t="s">
        <v>2170</v>
      </c>
      <c r="G99" s="768">
        <v>0.85</v>
      </c>
      <c r="H99" s="443" t="s">
        <v>2171</v>
      </c>
      <c r="I99" s="769"/>
      <c r="J99" s="443" t="s">
        <v>2171</v>
      </c>
      <c r="K99" s="770">
        <f>628547000/1000</f>
        <v>628547</v>
      </c>
      <c r="L99" s="443" t="s">
        <v>2171</v>
      </c>
      <c r="M99" s="770">
        <f>K99*10/100+K99</f>
        <v>691401.7</v>
      </c>
      <c r="N99" s="443" t="s">
        <v>2171</v>
      </c>
      <c r="O99" s="770">
        <f>M99*10/100+M99</f>
        <v>760541.87</v>
      </c>
      <c r="P99" s="443" t="s">
        <v>2171</v>
      </c>
      <c r="Q99" s="770">
        <f>O99*10/100+O99</f>
        <v>836596.05700000003</v>
      </c>
      <c r="R99" s="771" t="s">
        <v>2172</v>
      </c>
      <c r="S99" s="770">
        <f>836596057/1000</f>
        <v>836596.05700000003</v>
      </c>
      <c r="T99" s="772" t="s">
        <v>94</v>
      </c>
    </row>
    <row r="100" spans="1:20" ht="67.5" x14ac:dyDescent="0.25">
      <c r="A100" s="437" t="s">
        <v>1909</v>
      </c>
      <c r="B100" s="437" t="s">
        <v>1920</v>
      </c>
      <c r="C100" s="438">
        <v>16</v>
      </c>
      <c r="D100" s="767"/>
      <c r="E100" s="441" t="s">
        <v>239</v>
      </c>
      <c r="F100" s="714" t="s">
        <v>2173</v>
      </c>
      <c r="G100" s="774">
        <v>0</v>
      </c>
      <c r="H100" s="775"/>
      <c r="I100" s="776"/>
      <c r="J100" s="443" t="s">
        <v>2174</v>
      </c>
      <c r="K100" s="770">
        <f>906679000/1000</f>
        <v>906679</v>
      </c>
      <c r="L100" s="549" t="s">
        <v>2174</v>
      </c>
      <c r="M100" s="770">
        <f>977346900/1000</f>
        <v>977346.9</v>
      </c>
      <c r="N100" s="549" t="s">
        <v>2174</v>
      </c>
      <c r="O100" s="770">
        <f>1075081590/1000</f>
        <v>1075081.5900000001</v>
      </c>
      <c r="P100" s="549" t="s">
        <v>2174</v>
      </c>
      <c r="Q100" s="770">
        <f>1182589749/1000</f>
        <v>1182589.7490000001</v>
      </c>
      <c r="R100" s="549" t="s">
        <v>2175</v>
      </c>
      <c r="S100" s="770">
        <f>1182589749/1000</f>
        <v>1182589.7490000001</v>
      </c>
      <c r="T100" s="777" t="s">
        <v>94</v>
      </c>
    </row>
    <row r="101" spans="1:20" s="526" customFormat="1" ht="63" customHeight="1" x14ac:dyDescent="0.25">
      <c r="A101" s="437" t="s">
        <v>1909</v>
      </c>
      <c r="B101" s="437" t="s">
        <v>1920</v>
      </c>
      <c r="C101" s="438">
        <v>18</v>
      </c>
      <c r="D101" s="778"/>
      <c r="E101" s="447" t="s">
        <v>323</v>
      </c>
      <c r="F101" s="779"/>
      <c r="G101" s="445"/>
      <c r="H101" s="771"/>
      <c r="I101" s="770">
        <f>129272000/1000</f>
        <v>129272</v>
      </c>
      <c r="J101" s="438"/>
      <c r="K101" s="780">
        <f>1024714000/1000</f>
        <v>1024714</v>
      </c>
      <c r="L101" s="443"/>
      <c r="M101" s="780">
        <f>1127185400/1000</f>
        <v>1127185.3999999999</v>
      </c>
      <c r="N101" s="443"/>
      <c r="O101" s="780">
        <f>1239903940/1000</f>
        <v>1239903.94</v>
      </c>
      <c r="P101" s="534"/>
      <c r="Q101" s="780">
        <f>1363894334/1000</f>
        <v>1363894.334</v>
      </c>
      <c r="R101" s="534"/>
      <c r="S101" s="780">
        <f>1363894334/1000</f>
        <v>1363894.334</v>
      </c>
      <c r="T101" s="777" t="s">
        <v>94</v>
      </c>
    </row>
    <row r="102" spans="1:20" ht="22.5" customHeight="1" x14ac:dyDescent="0.25">
      <c r="A102" s="1459" t="s">
        <v>2176</v>
      </c>
      <c r="B102" s="1460"/>
      <c r="C102" s="1460"/>
      <c r="D102" s="1460"/>
      <c r="E102" s="1460"/>
      <c r="F102" s="1460"/>
      <c r="G102" s="1460"/>
      <c r="H102" s="1460"/>
      <c r="I102" s="1460"/>
      <c r="J102" s="1460"/>
      <c r="K102" s="1460"/>
      <c r="L102" s="1460"/>
      <c r="M102" s="1460"/>
      <c r="N102" s="1460"/>
      <c r="O102" s="1460"/>
      <c r="P102" s="1460"/>
      <c r="Q102" s="1460"/>
      <c r="R102" s="1460"/>
      <c r="S102" s="1460"/>
      <c r="T102" s="1461"/>
    </row>
    <row r="103" spans="1:20" s="773" customFormat="1" ht="25.5" customHeight="1" x14ac:dyDescent="0.25">
      <c r="A103" s="1488" t="s">
        <v>2177</v>
      </c>
      <c r="B103" s="1489"/>
      <c r="C103" s="1489"/>
      <c r="D103" s="1489"/>
      <c r="E103" s="1490"/>
      <c r="F103" s="781"/>
      <c r="G103" s="782"/>
      <c r="H103" s="783"/>
      <c r="I103" s="784"/>
      <c r="J103" s="783"/>
      <c r="K103" s="784"/>
      <c r="L103" s="783"/>
      <c r="M103" s="784"/>
      <c r="N103" s="783"/>
      <c r="O103" s="784"/>
      <c r="P103" s="783"/>
      <c r="Q103" s="784"/>
      <c r="R103" s="783"/>
      <c r="S103" s="783"/>
      <c r="T103" s="782"/>
    </row>
    <row r="104" spans="1:20" s="788" customFormat="1" ht="32.25" customHeight="1" x14ac:dyDescent="0.25">
      <c r="A104" s="1495" t="s">
        <v>1920</v>
      </c>
      <c r="B104" s="1495" t="s">
        <v>1920</v>
      </c>
      <c r="C104" s="1496" t="s">
        <v>2178</v>
      </c>
      <c r="D104" s="1496"/>
      <c r="E104" s="1497" t="s">
        <v>659</v>
      </c>
      <c r="F104" s="785" t="s">
        <v>2179</v>
      </c>
      <c r="G104" s="786">
        <v>40.9</v>
      </c>
      <c r="H104" s="787">
        <v>40.9</v>
      </c>
      <c r="I104" s="1500">
        <f>1075000000/1000</f>
        <v>1075000</v>
      </c>
      <c r="J104" s="787">
        <v>40.9</v>
      </c>
      <c r="K104" s="1500">
        <f>1375000000/1000</f>
        <v>1375000</v>
      </c>
      <c r="L104" s="787">
        <v>40.9</v>
      </c>
      <c r="M104" s="1500">
        <f>1495000000/1000</f>
        <v>1495000</v>
      </c>
      <c r="N104" s="787">
        <v>40.9</v>
      </c>
      <c r="O104" s="1503">
        <f>737000000/1000</f>
        <v>737000</v>
      </c>
      <c r="P104" s="787">
        <v>40.9</v>
      </c>
      <c r="Q104" s="1500">
        <f>1125000000/1000</f>
        <v>1125000</v>
      </c>
      <c r="R104" s="787">
        <v>40.9</v>
      </c>
      <c r="S104" s="1500">
        <f>1125000000/1000</f>
        <v>1125000</v>
      </c>
      <c r="T104" s="1501" t="s">
        <v>661</v>
      </c>
    </row>
    <row r="105" spans="1:20" s="788" customFormat="1" ht="18.75" customHeight="1" x14ac:dyDescent="0.25">
      <c r="A105" s="1495"/>
      <c r="B105" s="1495"/>
      <c r="C105" s="1496"/>
      <c r="D105" s="1496"/>
      <c r="E105" s="1498"/>
      <c r="F105" s="785" t="s">
        <v>2180</v>
      </c>
      <c r="G105" s="786">
        <v>12.76</v>
      </c>
      <c r="H105" s="787">
        <v>13.4</v>
      </c>
      <c r="I105" s="1500"/>
      <c r="J105" s="787">
        <v>14.1</v>
      </c>
      <c r="K105" s="1500"/>
      <c r="L105" s="787">
        <v>14.8</v>
      </c>
      <c r="M105" s="1500"/>
      <c r="N105" s="787">
        <v>15.5</v>
      </c>
      <c r="O105" s="1503"/>
      <c r="P105" s="787">
        <v>16.29</v>
      </c>
      <c r="Q105" s="1500"/>
      <c r="R105" s="787">
        <v>16.29</v>
      </c>
      <c r="S105" s="1500"/>
      <c r="T105" s="1501"/>
    </row>
    <row r="106" spans="1:20" s="789" customFormat="1" ht="18.75" customHeight="1" x14ac:dyDescent="0.25">
      <c r="A106" s="1496"/>
      <c r="B106" s="1496"/>
      <c r="C106" s="1496"/>
      <c r="D106" s="1496"/>
      <c r="E106" s="1499"/>
      <c r="F106" s="785" t="s">
        <v>2181</v>
      </c>
      <c r="G106" s="786">
        <v>31.51</v>
      </c>
      <c r="H106" s="787">
        <v>32.15</v>
      </c>
      <c r="I106" s="1500"/>
      <c r="J106" s="787">
        <v>32.700000000000003</v>
      </c>
      <c r="K106" s="1500"/>
      <c r="L106" s="787">
        <v>33.4</v>
      </c>
      <c r="M106" s="1500"/>
      <c r="N106" s="787">
        <v>34.1</v>
      </c>
      <c r="O106" s="1503"/>
      <c r="P106" s="787">
        <v>34.799999999999997</v>
      </c>
      <c r="Q106" s="1500"/>
      <c r="R106" s="787">
        <v>34.799999999999997</v>
      </c>
      <c r="S106" s="1500"/>
      <c r="T106" s="1501"/>
    </row>
    <row r="107" spans="1:20" s="790" customFormat="1" ht="23.25" customHeight="1" x14ac:dyDescent="0.25">
      <c r="A107" s="1495" t="s">
        <v>1920</v>
      </c>
      <c r="B107" s="1495" t="s">
        <v>1920</v>
      </c>
      <c r="C107" s="1496" t="s">
        <v>2182</v>
      </c>
      <c r="D107" s="1496"/>
      <c r="E107" s="1502" t="s">
        <v>2183</v>
      </c>
      <c r="F107" s="531" t="s">
        <v>2184</v>
      </c>
      <c r="G107" s="786">
        <v>98.6</v>
      </c>
      <c r="H107" s="787">
        <v>98.65</v>
      </c>
      <c r="I107" s="1505">
        <f>53067376800/1000</f>
        <v>53067376.799999997</v>
      </c>
      <c r="J107" s="787">
        <v>98.69</v>
      </c>
      <c r="K107" s="1505">
        <f>54099015100/1000</f>
        <v>54099015.100000001</v>
      </c>
      <c r="L107" s="787">
        <v>98.73</v>
      </c>
      <c r="M107" s="1500">
        <f>61316216000/1000</f>
        <v>61316216</v>
      </c>
      <c r="N107" s="787">
        <v>98.77</v>
      </c>
      <c r="O107" s="1503">
        <f>58947388100/1000</f>
        <v>58947388.100000001</v>
      </c>
      <c r="P107" s="787">
        <v>98.8</v>
      </c>
      <c r="Q107" s="1500">
        <f>59947388100/1000</f>
        <v>59947388.100000001</v>
      </c>
      <c r="R107" s="787">
        <v>98.8</v>
      </c>
      <c r="S107" s="1500">
        <f>59947388100/1000</f>
        <v>59947388.100000001</v>
      </c>
      <c r="T107" s="1501" t="s">
        <v>661</v>
      </c>
    </row>
    <row r="108" spans="1:20" s="790" customFormat="1" ht="18" customHeight="1" x14ac:dyDescent="0.25">
      <c r="A108" s="1495"/>
      <c r="B108" s="1495"/>
      <c r="C108" s="1496"/>
      <c r="D108" s="1496"/>
      <c r="E108" s="1502"/>
      <c r="F108" s="531" t="s">
        <v>2185</v>
      </c>
      <c r="G108" s="786">
        <v>80.22</v>
      </c>
      <c r="H108" s="787">
        <v>80.25</v>
      </c>
      <c r="I108" s="1505"/>
      <c r="J108" s="787">
        <v>82.4</v>
      </c>
      <c r="K108" s="1505"/>
      <c r="L108" s="787">
        <v>82.53</v>
      </c>
      <c r="M108" s="1500"/>
      <c r="N108" s="787">
        <v>82.7</v>
      </c>
      <c r="O108" s="1503"/>
      <c r="P108" s="787">
        <v>84.2</v>
      </c>
      <c r="Q108" s="1500"/>
      <c r="R108" s="787">
        <v>84.2</v>
      </c>
      <c r="S108" s="1500"/>
      <c r="T108" s="1501"/>
    </row>
    <row r="109" spans="1:20" s="790" customFormat="1" ht="28.5" customHeight="1" x14ac:dyDescent="0.25">
      <c r="A109" s="1495"/>
      <c r="B109" s="1495"/>
      <c r="C109" s="1496"/>
      <c r="D109" s="1496"/>
      <c r="E109" s="1502"/>
      <c r="F109" s="531" t="s">
        <v>2186</v>
      </c>
      <c r="G109" s="786"/>
      <c r="H109" s="787"/>
      <c r="I109" s="1505"/>
      <c r="J109" s="787"/>
      <c r="K109" s="1505"/>
      <c r="L109" s="787"/>
      <c r="M109" s="1500"/>
      <c r="N109" s="787"/>
      <c r="O109" s="1503"/>
      <c r="P109" s="787"/>
      <c r="Q109" s="1500"/>
      <c r="R109" s="787"/>
      <c r="S109" s="1500"/>
      <c r="T109" s="1501"/>
    </row>
    <row r="110" spans="1:20" s="790" customFormat="1" ht="23.25" customHeight="1" x14ac:dyDescent="0.25">
      <c r="A110" s="1495"/>
      <c r="B110" s="1495"/>
      <c r="C110" s="1496"/>
      <c r="D110" s="1496"/>
      <c r="E110" s="1502"/>
      <c r="F110" s="531" t="s">
        <v>2187</v>
      </c>
      <c r="G110" s="791">
        <f>4579/4662*100</f>
        <v>98.219648219648221</v>
      </c>
      <c r="H110" s="787">
        <v>98.25</v>
      </c>
      <c r="I110" s="1505"/>
      <c r="J110" s="787">
        <v>98.5</v>
      </c>
      <c r="K110" s="1505"/>
      <c r="L110" s="787">
        <v>98.55</v>
      </c>
      <c r="M110" s="1500"/>
      <c r="N110" s="787">
        <v>99.2</v>
      </c>
      <c r="O110" s="1503"/>
      <c r="P110" s="787">
        <f>4490/4508*100</f>
        <v>99.600709849157056</v>
      </c>
      <c r="Q110" s="1500"/>
      <c r="R110" s="787">
        <f>4490/4508*100</f>
        <v>99.600709849157056</v>
      </c>
      <c r="S110" s="1500"/>
      <c r="T110" s="1501"/>
    </row>
    <row r="111" spans="1:20" s="790" customFormat="1" ht="21.75" customHeight="1" x14ac:dyDescent="0.25">
      <c r="A111" s="1495"/>
      <c r="B111" s="1495"/>
      <c r="C111" s="1496"/>
      <c r="D111" s="1496"/>
      <c r="E111" s="1502"/>
      <c r="F111" s="531" t="s">
        <v>2188</v>
      </c>
      <c r="G111" s="791">
        <f>183/32839*100</f>
        <v>0.55726422850878532</v>
      </c>
      <c r="H111" s="787">
        <f>173/32839*100</f>
        <v>0.52681263132251288</v>
      </c>
      <c r="I111" s="1505"/>
      <c r="J111" s="787">
        <f>163/32839*100</f>
        <v>0.4963610341362405</v>
      </c>
      <c r="K111" s="1505"/>
      <c r="L111" s="787">
        <f>153/32839*100</f>
        <v>0.465909436949968</v>
      </c>
      <c r="M111" s="1500"/>
      <c r="N111" s="787">
        <f>151/32839*100</f>
        <v>0.45981911751271354</v>
      </c>
      <c r="O111" s="1503"/>
      <c r="P111" s="787">
        <f>150/33839*100</f>
        <v>0.44327551050562963</v>
      </c>
      <c r="Q111" s="1500"/>
      <c r="R111" s="787">
        <f>150/33839*100</f>
        <v>0.44327551050562963</v>
      </c>
      <c r="S111" s="1500"/>
      <c r="T111" s="1501"/>
    </row>
    <row r="112" spans="1:20" s="790" customFormat="1" ht="21" customHeight="1" x14ac:dyDescent="0.25">
      <c r="A112" s="1495"/>
      <c r="B112" s="1495"/>
      <c r="C112" s="1496"/>
      <c r="D112" s="1496"/>
      <c r="E112" s="1502"/>
      <c r="F112" s="531" t="s">
        <v>2189</v>
      </c>
      <c r="G112" s="791">
        <v>85.2</v>
      </c>
      <c r="H112" s="787">
        <v>86.15</v>
      </c>
      <c r="I112" s="1505"/>
      <c r="J112" s="787">
        <v>86.15</v>
      </c>
      <c r="K112" s="1505"/>
      <c r="L112" s="787">
        <v>88.25</v>
      </c>
      <c r="M112" s="1500"/>
      <c r="N112" s="787">
        <v>89.15</v>
      </c>
      <c r="O112" s="1503"/>
      <c r="P112" s="787">
        <v>89.25</v>
      </c>
      <c r="Q112" s="1500"/>
      <c r="R112" s="787">
        <v>89.5</v>
      </c>
      <c r="S112" s="1500"/>
      <c r="T112" s="1501"/>
    </row>
    <row r="113" spans="1:20" s="792" customFormat="1" ht="26.25" customHeight="1" x14ac:dyDescent="0.25">
      <c r="A113" s="1495"/>
      <c r="B113" s="1495"/>
      <c r="C113" s="1496"/>
      <c r="D113" s="1496"/>
      <c r="E113" s="1502"/>
      <c r="F113" s="776" t="s">
        <v>2190</v>
      </c>
      <c r="G113" s="791">
        <v>67.17</v>
      </c>
      <c r="H113" s="787">
        <v>67.2</v>
      </c>
      <c r="I113" s="1505"/>
      <c r="J113" s="787">
        <v>68.25</v>
      </c>
      <c r="K113" s="1505"/>
      <c r="L113" s="787">
        <v>70.400000000000006</v>
      </c>
      <c r="M113" s="1500"/>
      <c r="N113" s="787">
        <v>72.8</v>
      </c>
      <c r="O113" s="1503"/>
      <c r="P113" s="787">
        <v>73.5</v>
      </c>
      <c r="Q113" s="1500"/>
      <c r="R113" s="787">
        <v>75.8</v>
      </c>
      <c r="S113" s="1500"/>
      <c r="T113" s="1501"/>
    </row>
    <row r="114" spans="1:20" s="792" customFormat="1" ht="26.25" customHeight="1" x14ac:dyDescent="0.25">
      <c r="A114" s="1495"/>
      <c r="B114" s="1495"/>
      <c r="C114" s="1496"/>
      <c r="D114" s="1496"/>
      <c r="E114" s="1502"/>
      <c r="F114" s="776" t="s">
        <v>2191</v>
      </c>
      <c r="G114" s="791"/>
      <c r="H114" s="787"/>
      <c r="I114" s="1505"/>
      <c r="J114" s="787"/>
      <c r="K114" s="1505"/>
      <c r="L114" s="787"/>
      <c r="M114" s="1500"/>
      <c r="N114" s="787"/>
      <c r="O114" s="1503"/>
      <c r="P114" s="787"/>
      <c r="Q114" s="1500"/>
      <c r="R114" s="787"/>
      <c r="S114" s="1500"/>
      <c r="T114" s="1501"/>
    </row>
    <row r="115" spans="1:20" s="793" customFormat="1" ht="53.25" customHeight="1" x14ac:dyDescent="0.25">
      <c r="A115" s="1495"/>
      <c r="B115" s="1495"/>
      <c r="C115" s="1496"/>
      <c r="D115" s="1496"/>
      <c r="E115" s="1502"/>
      <c r="F115" s="776" t="s">
        <v>2192</v>
      </c>
      <c r="G115" s="791">
        <f>3615/3622*100</f>
        <v>99.806736609607952</v>
      </c>
      <c r="H115" s="787">
        <f>3715/3722*100</f>
        <v>99.811929070392253</v>
      </c>
      <c r="I115" s="1505"/>
      <c r="J115" s="787">
        <f>3815/3822*100</f>
        <v>99.81684981684981</v>
      </c>
      <c r="K115" s="1505"/>
      <c r="L115" s="787">
        <f>3915/3922*100</f>
        <v>99.821519632840378</v>
      </c>
      <c r="M115" s="1500"/>
      <c r="N115" s="787">
        <f>4115/4122*100</f>
        <v>99.830179524502668</v>
      </c>
      <c r="O115" s="1503"/>
      <c r="P115" s="787">
        <f>4315/4323*100</f>
        <v>99.814943326393717</v>
      </c>
      <c r="Q115" s="1500"/>
      <c r="R115" s="787">
        <f>4315/4323*100</f>
        <v>99.814943326393717</v>
      </c>
      <c r="S115" s="1500"/>
      <c r="T115" s="1501"/>
    </row>
    <row r="116" spans="1:20" s="793" customFormat="1" ht="69" customHeight="1" x14ac:dyDescent="0.25">
      <c r="A116" s="1495"/>
      <c r="B116" s="1495"/>
      <c r="C116" s="1496"/>
      <c r="D116" s="1496"/>
      <c r="E116" s="1502"/>
      <c r="F116" s="531" t="s">
        <v>2193</v>
      </c>
      <c r="G116" s="791">
        <f>7/11764*100</f>
        <v>5.9503570214212854E-2</v>
      </c>
      <c r="H116" s="787">
        <f>6/11764*100</f>
        <v>5.1003060183611018E-2</v>
      </c>
      <c r="I116" s="1505"/>
      <c r="J116" s="787">
        <f>6/11774*100</f>
        <v>5.0959741803974862E-2</v>
      </c>
      <c r="K116" s="1505"/>
      <c r="L116" s="787">
        <f>6/11784*100</f>
        <v>5.091649694501018E-2</v>
      </c>
      <c r="M116" s="1500"/>
      <c r="N116" s="787">
        <f>7/11794*100</f>
        <v>5.9352212989655755E-2</v>
      </c>
      <c r="O116" s="1503"/>
      <c r="P116" s="787">
        <f>10/16764*100</f>
        <v>5.965163445478406E-2</v>
      </c>
      <c r="Q116" s="1500"/>
      <c r="R116" s="787">
        <f>10/16764*100</f>
        <v>5.965163445478406E-2</v>
      </c>
      <c r="S116" s="1500"/>
      <c r="T116" s="1501"/>
    </row>
    <row r="117" spans="1:20" s="794" customFormat="1" ht="53.25" customHeight="1" x14ac:dyDescent="0.15">
      <c r="A117" s="1495" t="s">
        <v>1920</v>
      </c>
      <c r="B117" s="1495" t="s">
        <v>1920</v>
      </c>
      <c r="C117" s="1496" t="s">
        <v>2194</v>
      </c>
      <c r="D117" s="1501"/>
      <c r="E117" s="1502" t="s">
        <v>2195</v>
      </c>
      <c r="F117" s="531" t="s">
        <v>2196</v>
      </c>
      <c r="G117" s="791">
        <v>97.88</v>
      </c>
      <c r="H117" s="787">
        <v>97.88</v>
      </c>
      <c r="I117" s="1503">
        <f>4055000000/1000</f>
        <v>4055000</v>
      </c>
      <c r="J117" s="787">
        <v>98.15</v>
      </c>
      <c r="K117" s="1503">
        <f>1810000000/1000</f>
        <v>1810000</v>
      </c>
      <c r="L117" s="787">
        <v>98.16</v>
      </c>
      <c r="M117" s="1503">
        <f>1900000000/1000</f>
        <v>1900000</v>
      </c>
      <c r="N117" s="787">
        <v>98.24</v>
      </c>
      <c r="O117" s="1503">
        <f>2685000000/1000</f>
        <v>2685000</v>
      </c>
      <c r="P117" s="787">
        <v>98.4</v>
      </c>
      <c r="Q117" s="1506">
        <v>2685000000</v>
      </c>
      <c r="R117" s="787">
        <v>98.6</v>
      </c>
      <c r="S117" s="1507">
        <v>15284500</v>
      </c>
      <c r="T117" s="1501" t="s">
        <v>661</v>
      </c>
    </row>
    <row r="118" spans="1:20" s="790" customFormat="1" ht="54" customHeight="1" x14ac:dyDescent="0.25">
      <c r="A118" s="1495"/>
      <c r="B118" s="1495"/>
      <c r="C118" s="1496"/>
      <c r="D118" s="1501"/>
      <c r="E118" s="1502"/>
      <c r="F118" s="531" t="s">
        <v>2197</v>
      </c>
      <c r="G118" s="791">
        <f>5767/6764*100</f>
        <v>85.260201064458897</v>
      </c>
      <c r="H118" s="787">
        <f>6667/7764*100</f>
        <v>85.87068521380732</v>
      </c>
      <c r="I118" s="1503"/>
      <c r="J118" s="787"/>
      <c r="K118" s="1503"/>
      <c r="L118" s="787"/>
      <c r="M118" s="1503"/>
      <c r="N118" s="787"/>
      <c r="O118" s="1503"/>
      <c r="P118" s="787"/>
      <c r="Q118" s="1506"/>
      <c r="R118" s="787"/>
      <c r="S118" s="1507"/>
      <c r="T118" s="1501"/>
    </row>
    <row r="119" spans="1:20" s="790" customFormat="1" ht="54" customHeight="1" x14ac:dyDescent="0.25">
      <c r="A119" s="1495"/>
      <c r="B119" s="1495"/>
      <c r="C119" s="1496"/>
      <c r="D119" s="1501"/>
      <c r="E119" s="1502"/>
      <c r="F119" s="531" t="s">
        <v>2198</v>
      </c>
      <c r="G119" s="791"/>
      <c r="H119" s="787"/>
      <c r="I119" s="1503"/>
      <c r="J119" s="787"/>
      <c r="K119" s="1503"/>
      <c r="L119" s="787"/>
      <c r="M119" s="1503"/>
      <c r="N119" s="787"/>
      <c r="O119" s="1503"/>
      <c r="P119" s="787"/>
      <c r="Q119" s="1506"/>
      <c r="R119" s="787"/>
      <c r="S119" s="1507"/>
      <c r="T119" s="1501"/>
    </row>
    <row r="120" spans="1:20" s="790" customFormat="1" ht="21" customHeight="1" x14ac:dyDescent="0.25">
      <c r="A120" s="1496"/>
      <c r="B120" s="1496"/>
      <c r="C120" s="1496"/>
      <c r="D120" s="1501"/>
      <c r="E120" s="1502"/>
      <c r="F120" s="531" t="s">
        <v>2199</v>
      </c>
      <c r="G120" s="791">
        <f>2200/2215*100</f>
        <v>99.322799097065456</v>
      </c>
      <c r="H120" s="787">
        <f>2300/2315*100</f>
        <v>99.352051835853132</v>
      </c>
      <c r="I120" s="1503"/>
      <c r="J120" s="787">
        <f>2400/2415*100</f>
        <v>99.378881987577643</v>
      </c>
      <c r="K120" s="1503"/>
      <c r="L120" s="787">
        <f>2500/2515*100</f>
        <v>99.40357852882704</v>
      </c>
      <c r="M120" s="1503"/>
      <c r="N120" s="787">
        <f>2600/2615*100</f>
        <v>99.426386233269596</v>
      </c>
      <c r="O120" s="1503"/>
      <c r="P120" s="787">
        <f>2700/2715*100</f>
        <v>99.447513812154696</v>
      </c>
      <c r="Q120" s="1506"/>
      <c r="R120" s="787">
        <f>2700/2715*100</f>
        <v>99.447513812154696</v>
      </c>
      <c r="S120" s="1507"/>
      <c r="T120" s="1501"/>
    </row>
    <row r="121" spans="1:20" s="790" customFormat="1" ht="45" customHeight="1" x14ac:dyDescent="0.25">
      <c r="A121" s="1496"/>
      <c r="B121" s="1496"/>
      <c r="C121" s="1496"/>
      <c r="D121" s="1501"/>
      <c r="E121" s="1502"/>
      <c r="F121" s="531" t="s">
        <v>2200</v>
      </c>
      <c r="G121" s="791">
        <f>15/6808*100</f>
        <v>0.22032902467685075</v>
      </c>
      <c r="H121" s="787">
        <f>15/6808*100</f>
        <v>0.22032902467685075</v>
      </c>
      <c r="I121" s="1503"/>
      <c r="J121" s="787">
        <f>15/6808*100</f>
        <v>0.22032902467685075</v>
      </c>
      <c r="K121" s="1503"/>
      <c r="L121" s="787">
        <f>15/6808*100</f>
        <v>0.22032902467685075</v>
      </c>
      <c r="M121" s="1503"/>
      <c r="N121" s="787">
        <f>15/6808*100</f>
        <v>0.22032902467685075</v>
      </c>
      <c r="O121" s="1503"/>
      <c r="P121" s="787">
        <f>15/6808*100</f>
        <v>0.22032902467685075</v>
      </c>
      <c r="Q121" s="1506"/>
      <c r="R121" s="787">
        <f>15/6808*100</f>
        <v>0.22032902467685075</v>
      </c>
      <c r="S121" s="1507"/>
      <c r="T121" s="1501"/>
    </row>
    <row r="122" spans="1:20" s="790" customFormat="1" ht="52.5" customHeight="1" x14ac:dyDescent="0.25">
      <c r="A122" s="795" t="s">
        <v>1920</v>
      </c>
      <c r="B122" s="795" t="s">
        <v>1920</v>
      </c>
      <c r="C122" s="796" t="s">
        <v>2201</v>
      </c>
      <c r="D122" s="796"/>
      <c r="E122" s="531" t="s">
        <v>2202</v>
      </c>
      <c r="F122" s="531" t="s">
        <v>2203</v>
      </c>
      <c r="G122" s="797"/>
      <c r="H122" s="798"/>
      <c r="I122" s="799"/>
      <c r="J122" s="798" t="s">
        <v>2204</v>
      </c>
      <c r="K122" s="799">
        <v>550000</v>
      </c>
      <c r="L122" s="798" t="s">
        <v>2204</v>
      </c>
      <c r="M122" s="800">
        <v>600000</v>
      </c>
      <c r="N122" s="798" t="s">
        <v>2204</v>
      </c>
      <c r="O122" s="799">
        <v>700000</v>
      </c>
      <c r="P122" s="798" t="s">
        <v>2205</v>
      </c>
      <c r="Q122" s="800">
        <v>800000</v>
      </c>
      <c r="R122" s="798" t="s">
        <v>2205</v>
      </c>
      <c r="S122" s="800">
        <v>800000</v>
      </c>
      <c r="T122" s="797" t="s">
        <v>661</v>
      </c>
    </row>
    <row r="123" spans="1:20" s="789" customFormat="1" ht="66" customHeight="1" x14ac:dyDescent="0.25">
      <c r="A123" s="801" t="s">
        <v>1920</v>
      </c>
      <c r="B123" s="801" t="s">
        <v>1920</v>
      </c>
      <c r="C123" s="802" t="s">
        <v>1748</v>
      </c>
      <c r="D123" s="802"/>
      <c r="E123" s="803" t="s">
        <v>2206</v>
      </c>
      <c r="F123" s="531" t="s">
        <v>2207</v>
      </c>
      <c r="G123" s="786">
        <f>727/1671*100</f>
        <v>43.506882106523044</v>
      </c>
      <c r="H123" s="787">
        <f>877/1671*100</f>
        <v>52.483542788749247</v>
      </c>
      <c r="I123" s="804">
        <v>8600000</v>
      </c>
      <c r="J123" s="787">
        <f>977/1771*100</f>
        <v>55.166572557876904</v>
      </c>
      <c r="K123" s="804">
        <v>8960000</v>
      </c>
      <c r="L123" s="787">
        <f>1150/1871*100</f>
        <v>61.464457509353288</v>
      </c>
      <c r="M123" s="805">
        <v>8800000</v>
      </c>
      <c r="N123" s="787">
        <f>1250/1971*100</f>
        <v>63.419583967529171</v>
      </c>
      <c r="O123" s="804">
        <v>1015000</v>
      </c>
      <c r="P123" s="787">
        <f>1350/1971*100</f>
        <v>68.493150684931507</v>
      </c>
      <c r="Q123" s="805">
        <v>1300000</v>
      </c>
      <c r="R123" s="787">
        <f>1350/1971*100</f>
        <v>68.493150684931507</v>
      </c>
      <c r="S123" s="805">
        <v>1300000</v>
      </c>
      <c r="T123" s="1501" t="s">
        <v>661</v>
      </c>
    </row>
    <row r="124" spans="1:20" s="790" customFormat="1" ht="45" customHeight="1" x14ac:dyDescent="0.25">
      <c r="A124" s="801"/>
      <c r="B124" s="801"/>
      <c r="C124" s="802"/>
      <c r="D124" s="802"/>
      <c r="E124" s="803"/>
      <c r="F124" s="531" t="s">
        <v>2208</v>
      </c>
      <c r="G124" s="540" t="s">
        <v>2209</v>
      </c>
      <c r="H124" s="438" t="s">
        <v>349</v>
      </c>
      <c r="I124" s="804"/>
      <c r="J124" s="438" t="s">
        <v>349</v>
      </c>
      <c r="K124" s="804"/>
      <c r="L124" s="438" t="s">
        <v>349</v>
      </c>
      <c r="M124" s="805"/>
      <c r="N124" s="438" t="s">
        <v>349</v>
      </c>
      <c r="O124" s="804"/>
      <c r="P124" s="438" t="s">
        <v>349</v>
      </c>
      <c r="Q124" s="805"/>
      <c r="R124" s="438" t="s">
        <v>349</v>
      </c>
      <c r="S124" s="805"/>
      <c r="T124" s="1501"/>
    </row>
    <row r="125" spans="1:20" s="790" customFormat="1" ht="54.75" customHeight="1" x14ac:dyDescent="0.25">
      <c r="A125" s="806"/>
      <c r="B125" s="806"/>
      <c r="C125" s="807"/>
      <c r="D125" s="807"/>
      <c r="E125" s="803"/>
      <c r="F125" s="531" t="s">
        <v>2210</v>
      </c>
      <c r="G125" s="540" t="s">
        <v>2211</v>
      </c>
      <c r="H125" s="593" t="s">
        <v>743</v>
      </c>
      <c r="I125" s="804"/>
      <c r="J125" s="593" t="s">
        <v>743</v>
      </c>
      <c r="K125" s="804"/>
      <c r="L125" s="593" t="s">
        <v>743</v>
      </c>
      <c r="M125" s="805"/>
      <c r="N125" s="593" t="s">
        <v>743</v>
      </c>
      <c r="O125" s="804"/>
      <c r="P125" s="593" t="s">
        <v>743</v>
      </c>
      <c r="Q125" s="805"/>
      <c r="R125" s="593" t="s">
        <v>743</v>
      </c>
      <c r="S125" s="805"/>
      <c r="T125" s="1501"/>
    </row>
    <row r="126" spans="1:20" s="790" customFormat="1" ht="62.25" customHeight="1" x14ac:dyDescent="0.25">
      <c r="A126" s="795" t="s">
        <v>1920</v>
      </c>
      <c r="B126" s="795" t="s">
        <v>1920</v>
      </c>
      <c r="C126" s="796" t="s">
        <v>2212</v>
      </c>
      <c r="D126" s="796"/>
      <c r="E126" s="803" t="s">
        <v>2213</v>
      </c>
      <c r="F126" s="531" t="s">
        <v>2214</v>
      </c>
      <c r="G126" s="540"/>
      <c r="H126" s="798" t="s">
        <v>2215</v>
      </c>
      <c r="I126" s="799">
        <v>216000</v>
      </c>
      <c r="J126" s="798" t="s">
        <v>2216</v>
      </c>
      <c r="K126" s="799">
        <v>252000</v>
      </c>
      <c r="L126" s="798" t="s">
        <v>2216</v>
      </c>
      <c r="M126" s="800">
        <v>288000</v>
      </c>
      <c r="N126" s="798" t="s">
        <v>2216</v>
      </c>
      <c r="O126" s="799">
        <v>288000</v>
      </c>
      <c r="P126" s="798" t="s">
        <v>2216</v>
      </c>
      <c r="Q126" s="799">
        <v>200000</v>
      </c>
      <c r="R126" s="798" t="s">
        <v>2216</v>
      </c>
      <c r="S126" s="799">
        <v>200000</v>
      </c>
      <c r="T126" s="797" t="s">
        <v>661</v>
      </c>
    </row>
    <row r="127" spans="1:20" s="446" customFormat="1" ht="29.25" customHeight="1" x14ac:dyDescent="0.25">
      <c r="A127" s="1508" t="s">
        <v>510</v>
      </c>
      <c r="B127" s="1508"/>
      <c r="C127" s="1508"/>
      <c r="D127" s="1508"/>
      <c r="E127" s="1508"/>
      <c r="F127" s="781"/>
      <c r="G127" s="808"/>
      <c r="H127" s="809"/>
      <c r="I127" s="810"/>
      <c r="J127" s="809"/>
      <c r="K127" s="810"/>
      <c r="L127" s="809"/>
      <c r="M127" s="810"/>
      <c r="N127" s="809"/>
      <c r="O127" s="810"/>
      <c r="P127" s="809"/>
      <c r="Q127" s="810"/>
      <c r="R127" s="809"/>
      <c r="S127" s="809"/>
      <c r="T127" s="808"/>
    </row>
    <row r="128" spans="1:20" s="446" customFormat="1" ht="51.75" customHeight="1" x14ac:dyDescent="0.25">
      <c r="A128" s="437" t="s">
        <v>1909</v>
      </c>
      <c r="B128" s="437" t="s">
        <v>1920</v>
      </c>
      <c r="C128" s="437">
        <v>15</v>
      </c>
      <c r="D128" s="776"/>
      <c r="E128" s="811" t="s">
        <v>513</v>
      </c>
      <c r="F128" s="811" t="s">
        <v>2217</v>
      </c>
      <c r="G128" s="812">
        <v>0.7</v>
      </c>
      <c r="H128" s="813" t="s">
        <v>2218</v>
      </c>
      <c r="I128" s="814">
        <v>2523870</v>
      </c>
      <c r="J128" s="813" t="s">
        <v>2218</v>
      </c>
      <c r="K128" s="814">
        <v>2748757</v>
      </c>
      <c r="L128" s="813" t="s">
        <v>2218</v>
      </c>
      <c r="M128" s="814">
        <v>2973644</v>
      </c>
      <c r="N128" s="813" t="s">
        <v>2218</v>
      </c>
      <c r="O128" s="814">
        <v>3198531</v>
      </c>
      <c r="P128" s="813" t="s">
        <v>2218</v>
      </c>
      <c r="Q128" s="814">
        <v>3423418</v>
      </c>
      <c r="R128" s="813" t="s">
        <v>2218</v>
      </c>
      <c r="S128" s="815">
        <v>14868220</v>
      </c>
      <c r="T128" s="816" t="s">
        <v>511</v>
      </c>
    </row>
    <row r="129" spans="1:20" s="790" customFormat="1" ht="109.5" customHeight="1" x14ac:dyDescent="0.25">
      <c r="A129" s="437" t="s">
        <v>1909</v>
      </c>
      <c r="B129" s="437" t="s">
        <v>1920</v>
      </c>
      <c r="C129" s="437">
        <v>17</v>
      </c>
      <c r="D129" s="776"/>
      <c r="E129" s="531" t="s">
        <v>574</v>
      </c>
      <c r="F129" s="531" t="s">
        <v>2219</v>
      </c>
      <c r="G129" s="545">
        <v>0.1</v>
      </c>
      <c r="H129" s="438" t="s">
        <v>349</v>
      </c>
      <c r="I129" s="817">
        <v>75000</v>
      </c>
      <c r="J129" s="438" t="s">
        <v>349</v>
      </c>
      <c r="K129" s="817">
        <v>82500</v>
      </c>
      <c r="L129" s="438" t="s">
        <v>2220</v>
      </c>
      <c r="M129" s="817">
        <v>90000</v>
      </c>
      <c r="N129" s="438" t="s">
        <v>2221</v>
      </c>
      <c r="O129" s="817">
        <v>97500</v>
      </c>
      <c r="P129" s="438" t="s">
        <v>2222</v>
      </c>
      <c r="Q129" s="817">
        <v>105000</v>
      </c>
      <c r="R129" s="438" t="s">
        <v>349</v>
      </c>
      <c r="S129" s="818">
        <v>450000</v>
      </c>
      <c r="T129" s="540" t="s">
        <v>511</v>
      </c>
    </row>
    <row r="130" spans="1:20" s="790" customFormat="1" ht="65.25" customHeight="1" x14ac:dyDescent="0.25">
      <c r="A130" s="437" t="s">
        <v>1909</v>
      </c>
      <c r="B130" s="437" t="s">
        <v>1920</v>
      </c>
      <c r="C130" s="437">
        <v>19</v>
      </c>
      <c r="D130" s="776"/>
      <c r="E130" s="531" t="s">
        <v>598</v>
      </c>
      <c r="F130" s="531" t="s">
        <v>2223</v>
      </c>
      <c r="G130" s="545">
        <v>0.3</v>
      </c>
      <c r="H130" s="438" t="s">
        <v>349</v>
      </c>
      <c r="I130" s="817">
        <v>3450000</v>
      </c>
      <c r="J130" s="438" t="s">
        <v>349</v>
      </c>
      <c r="K130" s="817">
        <v>3410000</v>
      </c>
      <c r="L130" s="438" t="s">
        <v>349</v>
      </c>
      <c r="M130" s="817">
        <v>6746000</v>
      </c>
      <c r="N130" s="438" t="s">
        <v>349</v>
      </c>
      <c r="O130" s="817">
        <v>3988600</v>
      </c>
      <c r="P130" s="438" t="s">
        <v>349</v>
      </c>
      <c r="Q130" s="817">
        <v>4378460</v>
      </c>
      <c r="R130" s="438" t="s">
        <v>349</v>
      </c>
      <c r="S130" s="818">
        <v>18973060</v>
      </c>
      <c r="T130" s="540" t="s">
        <v>511</v>
      </c>
    </row>
    <row r="131" spans="1:20" s="790" customFormat="1" ht="42.75" customHeight="1" x14ac:dyDescent="0.25">
      <c r="A131" s="437" t="s">
        <v>1909</v>
      </c>
      <c r="B131" s="437" t="s">
        <v>1920</v>
      </c>
      <c r="C131" s="437">
        <v>20</v>
      </c>
      <c r="D131" s="438"/>
      <c r="E131" s="531" t="s">
        <v>2224</v>
      </c>
      <c r="F131" s="531" t="s">
        <v>2225</v>
      </c>
      <c r="G131" s="545">
        <v>1</v>
      </c>
      <c r="H131" s="438" t="s">
        <v>349</v>
      </c>
      <c r="I131" s="819">
        <v>1705000</v>
      </c>
      <c r="J131" s="438" t="s">
        <v>349</v>
      </c>
      <c r="K131" s="819">
        <v>1432500</v>
      </c>
      <c r="L131" s="438" t="s">
        <v>349</v>
      </c>
      <c r="M131" s="819">
        <v>1574000</v>
      </c>
      <c r="N131" s="438" t="s">
        <v>349</v>
      </c>
      <c r="O131" s="819">
        <v>1660800</v>
      </c>
      <c r="P131" s="438" t="s">
        <v>349</v>
      </c>
      <c r="Q131" s="819">
        <v>1461230</v>
      </c>
      <c r="R131" s="438" t="s">
        <v>349</v>
      </c>
      <c r="S131" s="819">
        <v>7833530</v>
      </c>
      <c r="T131" s="540" t="s">
        <v>511</v>
      </c>
    </row>
    <row r="132" spans="1:20" s="790" customFormat="1" ht="54" customHeight="1" x14ac:dyDescent="0.25">
      <c r="A132" s="437" t="s">
        <v>1909</v>
      </c>
      <c r="B132" s="437" t="s">
        <v>1920</v>
      </c>
      <c r="C132" s="437">
        <v>21</v>
      </c>
      <c r="D132" s="776"/>
      <c r="E132" s="531" t="s">
        <v>2226</v>
      </c>
      <c r="F132" s="531" t="s">
        <v>2227</v>
      </c>
      <c r="G132" s="545">
        <v>0.1</v>
      </c>
      <c r="H132" s="438" t="s">
        <v>349</v>
      </c>
      <c r="I132" s="817">
        <v>600000</v>
      </c>
      <c r="J132" s="438" t="s">
        <v>349</v>
      </c>
      <c r="K132" s="817">
        <v>660000</v>
      </c>
      <c r="L132" s="438" t="s">
        <v>349</v>
      </c>
      <c r="M132" s="817">
        <v>720000</v>
      </c>
      <c r="N132" s="438" t="s">
        <v>349</v>
      </c>
      <c r="O132" s="817">
        <v>780000</v>
      </c>
      <c r="P132" s="438" t="s">
        <v>349</v>
      </c>
      <c r="Q132" s="817">
        <v>840000</v>
      </c>
      <c r="R132" s="438" t="s">
        <v>349</v>
      </c>
      <c r="S132" s="820">
        <v>3600000</v>
      </c>
      <c r="T132" s="540" t="s">
        <v>511</v>
      </c>
    </row>
    <row r="133" spans="1:20" s="788" customFormat="1" ht="57" customHeight="1" x14ac:dyDescent="0.25">
      <c r="A133" s="437" t="s">
        <v>1909</v>
      </c>
      <c r="B133" s="437" t="s">
        <v>1920</v>
      </c>
      <c r="C133" s="437">
        <v>22</v>
      </c>
      <c r="D133" s="776"/>
      <c r="E133" s="531" t="s">
        <v>2228</v>
      </c>
      <c r="F133" s="531" t="s">
        <v>2229</v>
      </c>
      <c r="G133" s="545">
        <v>0.5</v>
      </c>
      <c r="H133" s="438" t="s">
        <v>349</v>
      </c>
      <c r="I133" s="817">
        <v>2300000</v>
      </c>
      <c r="J133" s="438" t="s">
        <v>349</v>
      </c>
      <c r="K133" s="817">
        <v>4530000</v>
      </c>
      <c r="L133" s="438" t="s">
        <v>349</v>
      </c>
      <c r="M133" s="817">
        <v>2775000</v>
      </c>
      <c r="N133" s="438" t="s">
        <v>349</v>
      </c>
      <c r="O133" s="817">
        <v>3035000</v>
      </c>
      <c r="P133" s="438" t="s">
        <v>349</v>
      </c>
      <c r="Q133" s="817">
        <v>3235000</v>
      </c>
      <c r="R133" s="438" t="s">
        <v>349</v>
      </c>
      <c r="S133" s="820">
        <v>15875000</v>
      </c>
      <c r="T133" s="540" t="s">
        <v>511</v>
      </c>
    </row>
    <row r="134" spans="1:20" s="790" customFormat="1" ht="59.25" customHeight="1" x14ac:dyDescent="0.25">
      <c r="A134" s="437" t="s">
        <v>1909</v>
      </c>
      <c r="B134" s="437" t="s">
        <v>1920</v>
      </c>
      <c r="C134" s="437">
        <v>23</v>
      </c>
      <c r="D134" s="776"/>
      <c r="E134" s="531" t="s">
        <v>516</v>
      </c>
      <c r="F134" s="531" t="s">
        <v>2230</v>
      </c>
      <c r="G134" s="545">
        <v>0.6</v>
      </c>
      <c r="H134" s="438" t="s">
        <v>2231</v>
      </c>
      <c r="I134" s="817">
        <v>650000</v>
      </c>
      <c r="J134" s="438" t="s">
        <v>2231</v>
      </c>
      <c r="K134" s="817">
        <v>715000</v>
      </c>
      <c r="L134" s="438" t="s">
        <v>2231</v>
      </c>
      <c r="M134" s="817">
        <v>785000</v>
      </c>
      <c r="N134" s="438" t="s">
        <v>2231</v>
      </c>
      <c r="O134" s="817">
        <v>860000</v>
      </c>
      <c r="P134" s="438" t="s">
        <v>2231</v>
      </c>
      <c r="Q134" s="817">
        <v>925000</v>
      </c>
      <c r="R134" s="438" t="s">
        <v>2231</v>
      </c>
      <c r="S134" s="820">
        <v>3935000</v>
      </c>
      <c r="T134" s="540" t="s">
        <v>511</v>
      </c>
    </row>
    <row r="135" spans="1:20" s="790" customFormat="1" ht="51.75" customHeight="1" x14ac:dyDescent="0.25">
      <c r="A135" s="437" t="s">
        <v>1909</v>
      </c>
      <c r="B135" s="437" t="s">
        <v>1920</v>
      </c>
      <c r="C135" s="437">
        <v>24</v>
      </c>
      <c r="D135" s="776"/>
      <c r="E135" s="531" t="s">
        <v>527</v>
      </c>
      <c r="F135" s="531" t="s">
        <v>2232</v>
      </c>
      <c r="G135" s="545">
        <v>1</v>
      </c>
      <c r="H135" s="438" t="s">
        <v>349</v>
      </c>
      <c r="I135" s="817">
        <v>1600000</v>
      </c>
      <c r="J135" s="438" t="s">
        <v>349</v>
      </c>
      <c r="K135" s="817">
        <v>1740000</v>
      </c>
      <c r="L135" s="438" t="s">
        <v>349</v>
      </c>
      <c r="M135" s="817">
        <v>1892000</v>
      </c>
      <c r="N135" s="438" t="s">
        <v>349</v>
      </c>
      <c r="O135" s="817">
        <v>1817200</v>
      </c>
      <c r="P135" s="438" t="s">
        <v>349</v>
      </c>
      <c r="Q135" s="817">
        <v>2251920</v>
      </c>
      <c r="R135" s="438" t="s">
        <v>349</v>
      </c>
      <c r="S135" s="820">
        <v>9301120</v>
      </c>
      <c r="T135" s="540" t="s">
        <v>511</v>
      </c>
    </row>
    <row r="136" spans="1:20" s="790" customFormat="1" ht="93.75" customHeight="1" x14ac:dyDescent="0.25">
      <c r="A136" s="437" t="s">
        <v>1909</v>
      </c>
      <c r="B136" s="437" t="s">
        <v>1920</v>
      </c>
      <c r="C136" s="437">
        <v>25</v>
      </c>
      <c r="D136" s="479"/>
      <c r="E136" s="531" t="s">
        <v>509</v>
      </c>
      <c r="F136" s="531" t="s">
        <v>2233</v>
      </c>
      <c r="G136" s="545">
        <v>0.2</v>
      </c>
      <c r="H136" s="438" t="s">
        <v>349</v>
      </c>
      <c r="I136" s="817">
        <v>16692591</v>
      </c>
      <c r="J136" s="438" t="s">
        <v>349</v>
      </c>
      <c r="K136" s="817">
        <v>47407691</v>
      </c>
      <c r="L136" s="438" t="s">
        <v>349</v>
      </c>
      <c r="M136" s="817">
        <v>14907691</v>
      </c>
      <c r="N136" s="438" t="s">
        <v>349</v>
      </c>
      <c r="O136" s="817">
        <v>17307691</v>
      </c>
      <c r="P136" s="438" t="s">
        <v>349</v>
      </c>
      <c r="Q136" s="817">
        <v>24107691</v>
      </c>
      <c r="R136" s="438" t="s">
        <v>349</v>
      </c>
      <c r="S136" s="818">
        <v>120423355</v>
      </c>
      <c r="T136" s="540" t="s">
        <v>511</v>
      </c>
    </row>
    <row r="137" spans="1:20" s="790" customFormat="1" ht="53.25" customHeight="1" x14ac:dyDescent="0.25">
      <c r="A137" s="437" t="s">
        <v>1909</v>
      </c>
      <c r="B137" s="437" t="s">
        <v>1920</v>
      </c>
      <c r="C137" s="437">
        <v>29</v>
      </c>
      <c r="D137" s="776"/>
      <c r="E137" s="531" t="s">
        <v>600</v>
      </c>
      <c r="F137" s="531" t="s">
        <v>2234</v>
      </c>
      <c r="G137" s="821" t="s">
        <v>2235</v>
      </c>
      <c r="H137" s="438" t="s">
        <v>349</v>
      </c>
      <c r="I137" s="822">
        <v>18033302</v>
      </c>
      <c r="J137" s="438" t="s">
        <v>349</v>
      </c>
      <c r="K137" s="822">
        <v>10560846</v>
      </c>
      <c r="L137" s="438" t="s">
        <v>349</v>
      </c>
      <c r="M137" s="822">
        <v>10596846</v>
      </c>
      <c r="N137" s="438" t="s">
        <v>349</v>
      </c>
      <c r="O137" s="822">
        <v>11004846</v>
      </c>
      <c r="P137" s="438" t="s">
        <v>349</v>
      </c>
      <c r="Q137" s="822">
        <v>10668846</v>
      </c>
      <c r="R137" s="438" t="s">
        <v>349</v>
      </c>
      <c r="S137" s="822">
        <v>60192686</v>
      </c>
      <c r="T137" s="540" t="s">
        <v>511</v>
      </c>
    </row>
    <row r="138" spans="1:20" s="790" customFormat="1" ht="62.25" customHeight="1" x14ac:dyDescent="0.25">
      <c r="A138" s="437" t="s">
        <v>1909</v>
      </c>
      <c r="B138" s="437" t="s">
        <v>1920</v>
      </c>
      <c r="C138" s="437">
        <v>30</v>
      </c>
      <c r="D138" s="776"/>
      <c r="E138" s="531" t="s">
        <v>525</v>
      </c>
      <c r="F138" s="776" t="s">
        <v>2236</v>
      </c>
      <c r="G138" s="545">
        <v>0.55000000000000004</v>
      </c>
      <c r="H138" s="438" t="s">
        <v>349</v>
      </c>
      <c r="I138" s="822">
        <v>575000</v>
      </c>
      <c r="J138" s="438" t="s">
        <v>349</v>
      </c>
      <c r="K138" s="822">
        <v>632500</v>
      </c>
      <c r="L138" s="438" t="s">
        <v>349</v>
      </c>
      <c r="M138" s="822">
        <v>695000</v>
      </c>
      <c r="N138" s="438" t="s">
        <v>349</v>
      </c>
      <c r="O138" s="822">
        <v>762500</v>
      </c>
      <c r="P138" s="438" t="s">
        <v>349</v>
      </c>
      <c r="Q138" s="822">
        <v>805000</v>
      </c>
      <c r="R138" s="438" t="s">
        <v>349</v>
      </c>
      <c r="S138" s="822">
        <v>3470000</v>
      </c>
      <c r="T138" s="540" t="s">
        <v>511</v>
      </c>
    </row>
    <row r="139" spans="1:20" s="790" customFormat="1" ht="62.25" customHeight="1" x14ac:dyDescent="0.25">
      <c r="A139" s="437" t="s">
        <v>1909</v>
      </c>
      <c r="B139" s="437" t="s">
        <v>1920</v>
      </c>
      <c r="C139" s="437">
        <v>31</v>
      </c>
      <c r="D139" s="776"/>
      <c r="E139" s="531" t="s">
        <v>588</v>
      </c>
      <c r="F139" s="531" t="s">
        <v>2237</v>
      </c>
      <c r="G139" s="545">
        <v>0.3</v>
      </c>
      <c r="H139" s="438" t="s">
        <v>349</v>
      </c>
      <c r="I139" s="817">
        <v>80000</v>
      </c>
      <c r="J139" s="438" t="s">
        <v>349</v>
      </c>
      <c r="K139" s="817">
        <v>88000</v>
      </c>
      <c r="L139" s="438" t="s">
        <v>349</v>
      </c>
      <c r="M139" s="817">
        <v>96000</v>
      </c>
      <c r="N139" s="438" t="s">
        <v>349</v>
      </c>
      <c r="O139" s="817">
        <v>104000</v>
      </c>
      <c r="P139" s="438" t="s">
        <v>349</v>
      </c>
      <c r="Q139" s="817">
        <v>112000</v>
      </c>
      <c r="R139" s="438" t="s">
        <v>349</v>
      </c>
      <c r="S139" s="820">
        <v>480000</v>
      </c>
      <c r="T139" s="540" t="s">
        <v>511</v>
      </c>
    </row>
    <row r="140" spans="1:20" s="788" customFormat="1" ht="51" customHeight="1" x14ac:dyDescent="0.25">
      <c r="A140" s="437" t="s">
        <v>1909</v>
      </c>
      <c r="B140" s="437" t="s">
        <v>1920</v>
      </c>
      <c r="C140" s="437">
        <v>32</v>
      </c>
      <c r="D140" s="776"/>
      <c r="E140" s="531" t="s">
        <v>582</v>
      </c>
      <c r="F140" s="531" t="s">
        <v>2238</v>
      </c>
      <c r="G140" s="545">
        <v>0.85</v>
      </c>
      <c r="H140" s="438" t="s">
        <v>2239</v>
      </c>
      <c r="I140" s="817">
        <v>125000</v>
      </c>
      <c r="J140" s="438" t="s">
        <v>2239</v>
      </c>
      <c r="K140" s="817">
        <v>137500</v>
      </c>
      <c r="L140" s="438" t="s">
        <v>2239</v>
      </c>
      <c r="M140" s="817">
        <v>150000</v>
      </c>
      <c r="N140" s="438" t="s">
        <v>2239</v>
      </c>
      <c r="O140" s="817">
        <v>162500</v>
      </c>
      <c r="P140" s="438" t="s">
        <v>2239</v>
      </c>
      <c r="Q140" s="817">
        <v>175000</v>
      </c>
      <c r="R140" s="438" t="s">
        <v>2239</v>
      </c>
      <c r="S140" s="820">
        <v>750000</v>
      </c>
      <c r="T140" s="540" t="s">
        <v>511</v>
      </c>
    </row>
    <row r="141" spans="1:20" s="788" customFormat="1" ht="33.75" customHeight="1" x14ac:dyDescent="0.25">
      <c r="A141" s="1504" t="s">
        <v>2240</v>
      </c>
      <c r="B141" s="1504"/>
      <c r="C141" s="1504"/>
      <c r="D141" s="1504"/>
      <c r="E141" s="1504"/>
      <c r="F141" s="823"/>
      <c r="G141" s="824"/>
      <c r="H141" s="825"/>
      <c r="I141" s="826"/>
      <c r="J141" s="825"/>
      <c r="K141" s="826"/>
      <c r="L141" s="825"/>
      <c r="M141" s="826"/>
      <c r="N141" s="825"/>
      <c r="O141" s="826"/>
      <c r="P141" s="825"/>
      <c r="Q141" s="826"/>
      <c r="R141" s="825"/>
      <c r="S141" s="825"/>
      <c r="T141" s="824"/>
    </row>
    <row r="142" spans="1:20" s="788" customFormat="1" ht="50.25" customHeight="1" x14ac:dyDescent="0.25">
      <c r="A142" s="827" t="s">
        <v>1909</v>
      </c>
      <c r="B142" s="827" t="s">
        <v>1909</v>
      </c>
      <c r="C142" s="798" t="s">
        <v>1909</v>
      </c>
      <c r="D142" s="798"/>
      <c r="E142" s="828" t="s">
        <v>544</v>
      </c>
      <c r="F142" s="829"/>
      <c r="G142" s="830" t="s">
        <v>217</v>
      </c>
      <c r="H142" s="798" t="s">
        <v>2241</v>
      </c>
      <c r="I142" s="831">
        <v>104000</v>
      </c>
      <c r="J142" s="798" t="s">
        <v>2242</v>
      </c>
      <c r="K142" s="831">
        <v>114000</v>
      </c>
      <c r="L142" s="798" t="s">
        <v>2243</v>
      </c>
      <c r="M142" s="831">
        <v>125400</v>
      </c>
      <c r="N142" s="798" t="s">
        <v>2244</v>
      </c>
      <c r="O142" s="831">
        <v>137940</v>
      </c>
      <c r="P142" s="798" t="s">
        <v>2244</v>
      </c>
      <c r="Q142" s="831">
        <v>150000</v>
      </c>
      <c r="R142" s="798" t="s">
        <v>2244</v>
      </c>
      <c r="S142" s="831">
        <v>150000</v>
      </c>
      <c r="T142" s="797" t="s">
        <v>533</v>
      </c>
    </row>
    <row r="143" spans="1:20" ht="78.75" customHeight="1" x14ac:dyDescent="0.25">
      <c r="A143" s="827" t="s">
        <v>1909</v>
      </c>
      <c r="B143" s="827" t="s">
        <v>1909</v>
      </c>
      <c r="C143" s="798" t="s">
        <v>2080</v>
      </c>
      <c r="D143" s="832"/>
      <c r="E143" s="447" t="s">
        <v>2245</v>
      </c>
      <c r="F143" s="833" t="s">
        <v>2246</v>
      </c>
      <c r="G143" s="834" t="s">
        <v>217</v>
      </c>
      <c r="H143" s="443" t="s">
        <v>2247</v>
      </c>
      <c r="I143" s="835">
        <v>400000</v>
      </c>
      <c r="J143" s="443" t="s">
        <v>2248</v>
      </c>
      <c r="K143" s="835">
        <v>500000</v>
      </c>
      <c r="L143" s="443" t="s">
        <v>2249</v>
      </c>
      <c r="M143" s="836">
        <v>400000</v>
      </c>
      <c r="N143" s="837" t="s">
        <v>2250</v>
      </c>
      <c r="O143" s="835">
        <v>400000</v>
      </c>
      <c r="P143" s="837" t="s">
        <v>2251</v>
      </c>
      <c r="Q143" s="835">
        <v>400000</v>
      </c>
      <c r="R143" s="837" t="s">
        <v>2251</v>
      </c>
      <c r="S143" s="835">
        <v>400000</v>
      </c>
      <c r="T143" s="838" t="s">
        <v>533</v>
      </c>
    </row>
    <row r="144" spans="1:20" ht="44.25" customHeight="1" thickBot="1" x14ac:dyDescent="0.3">
      <c r="A144" s="827" t="s">
        <v>1909</v>
      </c>
      <c r="B144" s="827" t="s">
        <v>1909</v>
      </c>
      <c r="C144" s="798" t="s">
        <v>2182</v>
      </c>
      <c r="D144" s="803"/>
      <c r="E144" s="839" t="s">
        <v>532</v>
      </c>
      <c r="F144" s="839" t="s">
        <v>2252</v>
      </c>
      <c r="G144" s="445">
        <v>0</v>
      </c>
      <c r="H144" s="539">
        <v>1</v>
      </c>
      <c r="I144" s="835">
        <v>399000</v>
      </c>
      <c r="J144" s="539">
        <v>1</v>
      </c>
      <c r="K144" s="835">
        <v>438900</v>
      </c>
      <c r="L144" s="539">
        <v>1</v>
      </c>
      <c r="M144" s="835">
        <v>482790</v>
      </c>
      <c r="N144" s="443"/>
      <c r="O144" s="835">
        <v>531069</v>
      </c>
      <c r="P144" s="443"/>
      <c r="Q144" s="835">
        <f>584175900/1000</f>
        <v>584175.9</v>
      </c>
      <c r="R144" s="443"/>
      <c r="S144" s="835">
        <f>584175900/1000</f>
        <v>584175.9</v>
      </c>
      <c r="T144" s="445" t="s">
        <v>533</v>
      </c>
    </row>
    <row r="145" spans="1:20" ht="62.25" customHeight="1" x14ac:dyDescent="0.25">
      <c r="A145" s="827" t="s">
        <v>1909</v>
      </c>
      <c r="B145" s="827" t="s">
        <v>1909</v>
      </c>
      <c r="C145" s="798" t="s">
        <v>2253</v>
      </c>
      <c r="D145" s="798"/>
      <c r="E145" s="839" t="s">
        <v>2254</v>
      </c>
      <c r="F145" s="839" t="s">
        <v>2255</v>
      </c>
      <c r="G145" s="779">
        <v>0</v>
      </c>
      <c r="H145" s="840" t="s">
        <v>2256</v>
      </c>
      <c r="I145" s="841">
        <v>76400</v>
      </c>
      <c r="J145" s="840" t="s">
        <v>2256</v>
      </c>
      <c r="K145" s="841">
        <v>76401</v>
      </c>
      <c r="L145" s="840" t="s">
        <v>2256</v>
      </c>
      <c r="M145" s="841">
        <v>84041</v>
      </c>
      <c r="N145" s="842" t="s">
        <v>2256</v>
      </c>
      <c r="O145" s="835">
        <v>92445</v>
      </c>
      <c r="P145" s="843" t="s">
        <v>2256</v>
      </c>
      <c r="Q145" s="835">
        <v>101689</v>
      </c>
      <c r="R145" s="843" t="s">
        <v>2256</v>
      </c>
      <c r="S145" s="835">
        <v>101689</v>
      </c>
      <c r="T145" s="445" t="s">
        <v>533</v>
      </c>
    </row>
    <row r="146" spans="1:20" ht="115.5" customHeight="1" x14ac:dyDescent="0.25">
      <c r="A146" s="827" t="s">
        <v>1909</v>
      </c>
      <c r="B146" s="827" t="s">
        <v>1909</v>
      </c>
      <c r="C146" s="798" t="s">
        <v>2257</v>
      </c>
      <c r="D146" s="803"/>
      <c r="E146" s="447" t="s">
        <v>2258</v>
      </c>
      <c r="F146" s="447" t="s">
        <v>2259</v>
      </c>
      <c r="G146" s="834" t="s">
        <v>217</v>
      </c>
      <c r="H146" s="718" t="s">
        <v>2260</v>
      </c>
      <c r="I146" s="841">
        <f>36074566788/1000</f>
        <v>36074566.788000003</v>
      </c>
      <c r="J146" s="718" t="s">
        <v>2261</v>
      </c>
      <c r="K146" s="841">
        <f>41442165100/1000</f>
        <v>41442165.100000001</v>
      </c>
      <c r="L146" s="718" t="s">
        <v>2260</v>
      </c>
      <c r="M146" s="841">
        <f>20000000000/1000</f>
        <v>20000000</v>
      </c>
      <c r="N146" s="718" t="s">
        <v>2262</v>
      </c>
      <c r="O146" s="841">
        <f>5000000000/1000</f>
        <v>5000000</v>
      </c>
      <c r="P146" s="718" t="s">
        <v>2263</v>
      </c>
      <c r="Q146" s="841">
        <f>5000000000/1000</f>
        <v>5000000</v>
      </c>
      <c r="R146" s="718" t="s">
        <v>2263</v>
      </c>
      <c r="S146" s="841">
        <f>5000000000/1000</f>
        <v>5000000</v>
      </c>
      <c r="T146" s="445" t="s">
        <v>533</v>
      </c>
    </row>
    <row r="147" spans="1:20" ht="27.75" customHeight="1" x14ac:dyDescent="0.25">
      <c r="A147" s="1509" t="s">
        <v>2264</v>
      </c>
      <c r="B147" s="1510"/>
      <c r="C147" s="1510"/>
      <c r="D147" s="1510"/>
      <c r="E147" s="1511"/>
      <c r="F147" s="441"/>
      <c r="G147" s="834"/>
      <c r="H147" s="718"/>
      <c r="I147" s="844"/>
      <c r="J147" s="718"/>
      <c r="K147" s="844"/>
      <c r="L147" s="718"/>
      <c r="M147" s="844"/>
      <c r="N147" s="718"/>
      <c r="O147" s="844"/>
      <c r="P147" s="718"/>
      <c r="Q147" s="844"/>
      <c r="R147" s="718"/>
      <c r="S147" s="844"/>
      <c r="T147" s="445"/>
    </row>
    <row r="148" spans="1:20" ht="45" customHeight="1" x14ac:dyDescent="0.25">
      <c r="A148" s="600">
        <v>17</v>
      </c>
      <c r="B148" s="845" t="s">
        <v>2033</v>
      </c>
      <c r="C148" s="845">
        <v>15</v>
      </c>
      <c r="D148" s="846"/>
      <c r="E148" s="209" t="s">
        <v>820</v>
      </c>
      <c r="F148" s="847" t="s">
        <v>2265</v>
      </c>
      <c r="G148" s="848" t="s">
        <v>2146</v>
      </c>
      <c r="H148" s="849">
        <v>0.9</v>
      </c>
      <c r="I148" s="850">
        <v>440000</v>
      </c>
      <c r="J148" s="849">
        <v>0.9</v>
      </c>
      <c r="K148" s="851">
        <v>484000</v>
      </c>
      <c r="L148" s="849">
        <v>0.9</v>
      </c>
      <c r="M148" s="852">
        <v>531000</v>
      </c>
      <c r="N148" s="853">
        <v>0.9</v>
      </c>
      <c r="O148" s="850">
        <v>583000</v>
      </c>
      <c r="P148" s="853">
        <v>0.9</v>
      </c>
      <c r="Q148" s="850">
        <v>640000</v>
      </c>
      <c r="R148" s="853">
        <v>0.9</v>
      </c>
      <c r="S148" s="850">
        <v>640000</v>
      </c>
      <c r="T148" s="848" t="s">
        <v>2123</v>
      </c>
    </row>
    <row r="149" spans="1:20" s="446" customFormat="1" ht="54" customHeight="1" x14ac:dyDescent="0.25">
      <c r="A149" s="854">
        <v>17</v>
      </c>
      <c r="B149" s="845" t="s">
        <v>2033</v>
      </c>
      <c r="C149" s="854">
        <v>16</v>
      </c>
      <c r="D149" s="845"/>
      <c r="E149" s="855" t="s">
        <v>813</v>
      </c>
      <c r="F149" s="847" t="s">
        <v>2266</v>
      </c>
      <c r="G149" s="848" t="s">
        <v>2267</v>
      </c>
      <c r="H149" s="856">
        <v>1</v>
      </c>
      <c r="I149" s="850">
        <v>275000</v>
      </c>
      <c r="J149" s="856">
        <v>1</v>
      </c>
      <c r="K149" s="851">
        <v>302500</v>
      </c>
      <c r="L149" s="856">
        <v>1</v>
      </c>
      <c r="M149" s="852">
        <v>332750</v>
      </c>
      <c r="N149" s="856">
        <v>1</v>
      </c>
      <c r="O149" s="850">
        <v>365925</v>
      </c>
      <c r="P149" s="856">
        <v>1</v>
      </c>
      <c r="Q149" s="850">
        <f>402527500/1000</f>
        <v>402527.5</v>
      </c>
      <c r="R149" s="856">
        <v>1</v>
      </c>
      <c r="S149" s="850">
        <f>402527500/1000</f>
        <v>402527.5</v>
      </c>
      <c r="T149" s="848" t="s">
        <v>2123</v>
      </c>
    </row>
    <row r="150" spans="1:20" s="446" customFormat="1" ht="54.75" customHeight="1" x14ac:dyDescent="0.25">
      <c r="A150" s="854">
        <v>17</v>
      </c>
      <c r="B150" s="845" t="s">
        <v>2033</v>
      </c>
      <c r="C150" s="854">
        <v>17</v>
      </c>
      <c r="D150" s="845"/>
      <c r="E150" s="855" t="s">
        <v>808</v>
      </c>
      <c r="F150" s="847" t="s">
        <v>2268</v>
      </c>
      <c r="G150" s="848" t="s">
        <v>2269</v>
      </c>
      <c r="H150" s="856">
        <v>1</v>
      </c>
      <c r="I150" s="850">
        <v>500000</v>
      </c>
      <c r="J150" s="856">
        <v>1</v>
      </c>
      <c r="K150" s="851">
        <v>550000</v>
      </c>
      <c r="L150" s="856">
        <v>1</v>
      </c>
      <c r="M150" s="852">
        <v>604900</v>
      </c>
      <c r="N150" s="856">
        <v>1</v>
      </c>
      <c r="O150" s="850">
        <v>665390</v>
      </c>
      <c r="P150" s="856">
        <v>1</v>
      </c>
      <c r="Q150" s="850">
        <v>731929</v>
      </c>
      <c r="R150" s="856">
        <v>1</v>
      </c>
      <c r="S150" s="850">
        <v>731929</v>
      </c>
      <c r="T150" s="848" t="s">
        <v>2123</v>
      </c>
    </row>
    <row r="151" spans="1:20" s="502" customFormat="1" ht="33.75" customHeight="1" x14ac:dyDescent="0.25">
      <c r="A151" s="1512" t="s">
        <v>607</v>
      </c>
      <c r="B151" s="1513"/>
      <c r="C151" s="1513"/>
      <c r="D151" s="1513"/>
      <c r="E151" s="1514"/>
      <c r="F151" s="857"/>
      <c r="G151" s="858"/>
      <c r="H151" s="859"/>
      <c r="I151" s="859"/>
      <c r="J151" s="860"/>
      <c r="K151" s="859"/>
      <c r="L151" s="860"/>
      <c r="M151" s="859"/>
      <c r="N151" s="860"/>
      <c r="O151" s="859"/>
      <c r="P151" s="860"/>
      <c r="Q151" s="859"/>
      <c r="R151" s="860"/>
      <c r="S151" s="859"/>
      <c r="T151" s="861"/>
    </row>
    <row r="152" spans="1:20" s="502" customFormat="1" ht="60" customHeight="1" x14ac:dyDescent="0.25">
      <c r="A152" s="437" t="s">
        <v>2201</v>
      </c>
      <c r="B152" s="437" t="s">
        <v>1920</v>
      </c>
      <c r="C152" s="437" t="s">
        <v>2182</v>
      </c>
      <c r="D152" s="776"/>
      <c r="E152" s="855" t="s">
        <v>615</v>
      </c>
      <c r="F152" s="447" t="s">
        <v>2270</v>
      </c>
      <c r="G152" s="662" t="s">
        <v>2271</v>
      </c>
      <c r="H152" s="536" t="s">
        <v>2271</v>
      </c>
      <c r="I152" s="862">
        <v>215793</v>
      </c>
      <c r="J152" s="536" t="s">
        <v>2272</v>
      </c>
      <c r="K152" s="664">
        <v>80000</v>
      </c>
      <c r="L152" s="536" t="s">
        <v>2273</v>
      </c>
      <c r="M152" s="664">
        <v>88000</v>
      </c>
      <c r="N152" s="536" t="s">
        <v>2274</v>
      </c>
      <c r="O152" s="862">
        <v>96800</v>
      </c>
      <c r="P152" s="536" t="s">
        <v>2275</v>
      </c>
      <c r="Q152" s="862">
        <v>106480</v>
      </c>
      <c r="R152" s="536" t="s">
        <v>2275</v>
      </c>
      <c r="S152" s="862">
        <v>106480</v>
      </c>
      <c r="T152" s="662" t="s">
        <v>608</v>
      </c>
    </row>
    <row r="153" spans="1:20" ht="81.75" customHeight="1" x14ac:dyDescent="0.25">
      <c r="A153" s="437" t="s">
        <v>2201</v>
      </c>
      <c r="B153" s="437" t="s">
        <v>1920</v>
      </c>
      <c r="C153" s="437" t="s">
        <v>2194</v>
      </c>
      <c r="D153" s="776"/>
      <c r="E153" s="855" t="s">
        <v>621</v>
      </c>
      <c r="F153" s="447" t="s">
        <v>2276</v>
      </c>
      <c r="G153" s="662" t="s">
        <v>2277</v>
      </c>
      <c r="H153" s="536" t="s">
        <v>2278</v>
      </c>
      <c r="I153" s="862">
        <v>215793</v>
      </c>
      <c r="J153" s="536" t="s">
        <v>2277</v>
      </c>
      <c r="K153" s="664">
        <v>80000</v>
      </c>
      <c r="L153" s="536" t="s">
        <v>2277</v>
      </c>
      <c r="M153" s="664">
        <v>88000</v>
      </c>
      <c r="N153" s="536" t="s">
        <v>2277</v>
      </c>
      <c r="O153" s="862">
        <v>96800</v>
      </c>
      <c r="P153" s="536" t="s">
        <v>2277</v>
      </c>
      <c r="Q153" s="862">
        <v>106480</v>
      </c>
      <c r="R153" s="536" t="s">
        <v>2277</v>
      </c>
      <c r="S153" s="862">
        <v>106480</v>
      </c>
      <c r="T153" s="662" t="s">
        <v>608</v>
      </c>
    </row>
    <row r="154" spans="1:20" s="773" customFormat="1" ht="58.5" customHeight="1" x14ac:dyDescent="0.25">
      <c r="A154" s="437" t="s">
        <v>2201</v>
      </c>
      <c r="B154" s="437" t="s">
        <v>1920</v>
      </c>
      <c r="C154" s="437" t="s">
        <v>2253</v>
      </c>
      <c r="D154" s="776"/>
      <c r="E154" s="855" t="s">
        <v>2279</v>
      </c>
      <c r="F154" s="447" t="s">
        <v>2280</v>
      </c>
      <c r="G154" s="662" t="s">
        <v>2281</v>
      </c>
      <c r="H154" s="536">
        <v>12</v>
      </c>
      <c r="I154" s="862">
        <v>145000</v>
      </c>
      <c r="J154" s="536">
        <v>15</v>
      </c>
      <c r="K154" s="664">
        <v>145000</v>
      </c>
      <c r="L154" s="536">
        <v>18</v>
      </c>
      <c r="M154" s="664">
        <v>170000</v>
      </c>
      <c r="N154" s="536">
        <v>21</v>
      </c>
      <c r="O154" s="862">
        <v>200000</v>
      </c>
      <c r="P154" s="536">
        <v>24</v>
      </c>
      <c r="Q154" s="862">
        <v>250000</v>
      </c>
      <c r="R154" s="536">
        <v>24</v>
      </c>
      <c r="S154" s="862">
        <v>250000</v>
      </c>
      <c r="T154" s="662" t="s">
        <v>608</v>
      </c>
    </row>
    <row r="155" spans="1:20" ht="59.25" customHeight="1" x14ac:dyDescent="0.25">
      <c r="A155" s="437" t="s">
        <v>2201</v>
      </c>
      <c r="B155" s="437" t="s">
        <v>1920</v>
      </c>
      <c r="C155" s="437" t="s">
        <v>1748</v>
      </c>
      <c r="D155" s="776"/>
      <c r="E155" s="855" t="s">
        <v>2282</v>
      </c>
      <c r="F155" s="447" t="s">
        <v>2283</v>
      </c>
      <c r="G155" s="662" t="s">
        <v>2269</v>
      </c>
      <c r="H155" s="536" t="s">
        <v>2269</v>
      </c>
      <c r="I155" s="862">
        <v>964000</v>
      </c>
      <c r="J155" s="536" t="s">
        <v>2284</v>
      </c>
      <c r="K155" s="664">
        <v>800000</v>
      </c>
      <c r="L155" s="536" t="s">
        <v>2285</v>
      </c>
      <c r="M155" s="664">
        <v>2500000</v>
      </c>
      <c r="N155" s="536" t="s">
        <v>2286</v>
      </c>
      <c r="O155" s="862">
        <v>900000</v>
      </c>
      <c r="P155" s="536" t="s">
        <v>2287</v>
      </c>
      <c r="Q155" s="862">
        <v>3500000</v>
      </c>
      <c r="R155" s="536" t="s">
        <v>2287</v>
      </c>
      <c r="S155" s="862">
        <v>3500000</v>
      </c>
      <c r="T155" s="662" t="s">
        <v>608</v>
      </c>
    </row>
    <row r="156" spans="1:20" ht="57.75" customHeight="1" x14ac:dyDescent="0.25">
      <c r="A156" s="437" t="s">
        <v>2201</v>
      </c>
      <c r="B156" s="437" t="s">
        <v>1920</v>
      </c>
      <c r="C156" s="437" t="s">
        <v>2288</v>
      </c>
      <c r="D156" s="776"/>
      <c r="E156" s="855" t="s">
        <v>606</v>
      </c>
      <c r="F156" s="447" t="s">
        <v>2289</v>
      </c>
      <c r="G156" s="662" t="s">
        <v>2290</v>
      </c>
      <c r="H156" s="536" t="s">
        <v>2291</v>
      </c>
      <c r="I156" s="862">
        <v>88676</v>
      </c>
      <c r="J156" s="536" t="s">
        <v>2292</v>
      </c>
      <c r="K156" s="664">
        <v>1320000</v>
      </c>
      <c r="L156" s="536" t="s">
        <v>2293</v>
      </c>
      <c r="M156" s="664">
        <v>825000</v>
      </c>
      <c r="N156" s="536" t="s">
        <v>2294</v>
      </c>
      <c r="O156" s="862">
        <v>650000</v>
      </c>
      <c r="P156" s="536" t="s">
        <v>2295</v>
      </c>
      <c r="Q156" s="862">
        <v>700000</v>
      </c>
      <c r="R156" s="536" t="s">
        <v>2295</v>
      </c>
      <c r="S156" s="862">
        <v>700000</v>
      </c>
      <c r="T156" s="662" t="s">
        <v>608</v>
      </c>
    </row>
    <row r="157" spans="1:20" ht="60.75" customHeight="1" x14ac:dyDescent="0.25">
      <c r="A157" s="437" t="s">
        <v>2201</v>
      </c>
      <c r="B157" s="437" t="s">
        <v>1920</v>
      </c>
      <c r="C157" s="454" t="s">
        <v>2212</v>
      </c>
      <c r="D157" s="776"/>
      <c r="E157" s="855" t="s">
        <v>609</v>
      </c>
      <c r="F157" s="447" t="s">
        <v>2296</v>
      </c>
      <c r="G157" s="662">
        <v>0</v>
      </c>
      <c r="H157" s="536" t="s">
        <v>2297</v>
      </c>
      <c r="I157" s="533" t="s">
        <v>2298</v>
      </c>
      <c r="J157" s="536" t="s">
        <v>2299</v>
      </c>
      <c r="K157" s="664">
        <v>150000</v>
      </c>
      <c r="L157" s="536" t="s">
        <v>2300</v>
      </c>
      <c r="M157" s="664">
        <v>300000</v>
      </c>
      <c r="N157" s="443" t="s">
        <v>2301</v>
      </c>
      <c r="O157" s="862">
        <v>100000</v>
      </c>
      <c r="P157" s="536">
        <v>0</v>
      </c>
      <c r="Q157" s="664">
        <v>0</v>
      </c>
      <c r="R157" s="536">
        <v>0</v>
      </c>
      <c r="S157" s="664">
        <v>0</v>
      </c>
      <c r="T157" s="662" t="s">
        <v>608</v>
      </c>
    </row>
    <row r="158" spans="1:20" s="262" customFormat="1" ht="31.5" customHeight="1" x14ac:dyDescent="0.25">
      <c r="A158" s="1515" t="s">
        <v>844</v>
      </c>
      <c r="B158" s="1516"/>
      <c r="C158" s="1516"/>
      <c r="D158" s="1517"/>
      <c r="E158" s="863"/>
      <c r="F158" s="1518"/>
      <c r="G158" s="1519"/>
      <c r="H158" s="864"/>
      <c r="I158" s="865"/>
      <c r="J158" s="866"/>
      <c r="K158" s="864"/>
      <c r="L158" s="867"/>
      <c r="M158" s="868"/>
      <c r="N158" s="864"/>
      <c r="O158" s="864"/>
      <c r="P158" s="864"/>
      <c r="Q158" s="864"/>
      <c r="R158" s="864"/>
      <c r="S158" s="864"/>
      <c r="T158" s="869"/>
    </row>
    <row r="159" spans="1:20" customFormat="1" ht="58.5" customHeight="1" x14ac:dyDescent="0.25">
      <c r="A159" s="870">
        <v>22</v>
      </c>
      <c r="B159" s="870">
        <v>1</v>
      </c>
      <c r="C159" s="871">
        <v>17</v>
      </c>
      <c r="D159" s="871"/>
      <c r="E159" s="872" t="s">
        <v>842</v>
      </c>
      <c r="F159" s="873" t="s">
        <v>2302</v>
      </c>
      <c r="G159" s="608" t="s">
        <v>2303</v>
      </c>
      <c r="H159" s="874" t="s">
        <v>2303</v>
      </c>
      <c r="I159" s="875">
        <v>1446000</v>
      </c>
      <c r="J159" s="874" t="s">
        <v>2303</v>
      </c>
      <c r="K159" s="876">
        <v>1446000</v>
      </c>
      <c r="L159" s="874" t="s">
        <v>2303</v>
      </c>
      <c r="M159" s="877">
        <v>1746000</v>
      </c>
      <c r="N159" s="874" t="s">
        <v>2303</v>
      </c>
      <c r="O159" s="878">
        <v>2046000</v>
      </c>
      <c r="P159" s="874" t="s">
        <v>2303</v>
      </c>
      <c r="Q159" s="878">
        <v>2346000</v>
      </c>
      <c r="R159" s="874" t="s">
        <v>2303</v>
      </c>
      <c r="S159" s="877">
        <v>2553000</v>
      </c>
      <c r="T159" s="608" t="s">
        <v>2304</v>
      </c>
    </row>
    <row r="160" spans="1:20" customFormat="1" ht="58.5" customHeight="1" x14ac:dyDescent="0.25">
      <c r="A160" s="870">
        <v>22</v>
      </c>
      <c r="B160" s="870">
        <v>1</v>
      </c>
      <c r="C160" s="871">
        <v>19</v>
      </c>
      <c r="D160" s="871"/>
      <c r="E160" s="603" t="s">
        <v>2305</v>
      </c>
      <c r="F160" s="873" t="s">
        <v>2306</v>
      </c>
      <c r="G160" s="608" t="s">
        <v>2303</v>
      </c>
      <c r="H160" s="874" t="s">
        <v>2303</v>
      </c>
      <c r="I160" s="875">
        <v>430000</v>
      </c>
      <c r="J160" s="874" t="s">
        <v>2303</v>
      </c>
      <c r="K160" s="879">
        <v>450000</v>
      </c>
      <c r="L160" s="874" t="s">
        <v>2303</v>
      </c>
      <c r="M160" s="851">
        <v>470000</v>
      </c>
      <c r="N160" s="874" t="s">
        <v>2303</v>
      </c>
      <c r="O160" s="880">
        <v>490000</v>
      </c>
      <c r="P160" s="874" t="s">
        <v>2303</v>
      </c>
      <c r="Q160" s="880">
        <v>500000</v>
      </c>
      <c r="R160" s="874" t="s">
        <v>2303</v>
      </c>
      <c r="S160" s="851">
        <v>500000</v>
      </c>
      <c r="T160" s="608" t="s">
        <v>2307</v>
      </c>
    </row>
    <row r="161" spans="1:20" customFormat="1" ht="58.5" customHeight="1" x14ac:dyDescent="0.25">
      <c r="A161" s="870">
        <v>22</v>
      </c>
      <c r="B161" s="870">
        <v>1</v>
      </c>
      <c r="C161" s="871">
        <v>18</v>
      </c>
      <c r="D161" s="881"/>
      <c r="E161" s="603" t="s">
        <v>2308</v>
      </c>
      <c r="F161" s="873" t="s">
        <v>2309</v>
      </c>
      <c r="G161" s="608" t="s">
        <v>2310</v>
      </c>
      <c r="H161" s="874" t="s">
        <v>2310</v>
      </c>
      <c r="I161" s="875">
        <v>820000</v>
      </c>
      <c r="J161" s="874" t="s">
        <v>2310</v>
      </c>
      <c r="K161" s="879">
        <v>820000</v>
      </c>
      <c r="L161" s="874" t="s">
        <v>2310</v>
      </c>
      <c r="M161" s="877">
        <v>820000</v>
      </c>
      <c r="N161" s="874" t="s">
        <v>2310</v>
      </c>
      <c r="O161" s="878">
        <v>820000</v>
      </c>
      <c r="P161" s="874" t="s">
        <v>2310</v>
      </c>
      <c r="Q161" s="878">
        <v>820000</v>
      </c>
      <c r="R161" s="874" t="s">
        <v>2310</v>
      </c>
      <c r="S161" s="877">
        <v>820000</v>
      </c>
      <c r="T161" s="608" t="s">
        <v>2311</v>
      </c>
    </row>
    <row r="162" spans="1:20" customFormat="1" ht="58.5" customHeight="1" x14ac:dyDescent="0.25">
      <c r="A162" s="870">
        <v>22</v>
      </c>
      <c r="B162" s="870">
        <v>1</v>
      </c>
      <c r="C162" s="871">
        <v>18</v>
      </c>
      <c r="D162" s="871"/>
      <c r="E162" s="603" t="s">
        <v>2312</v>
      </c>
      <c r="F162" s="873" t="s">
        <v>2313</v>
      </c>
      <c r="G162" s="608" t="s">
        <v>2310</v>
      </c>
      <c r="H162" s="874" t="s">
        <v>2310</v>
      </c>
      <c r="I162" s="875">
        <v>500000</v>
      </c>
      <c r="J162" s="874" t="s">
        <v>2310</v>
      </c>
      <c r="K162" s="879">
        <v>500000</v>
      </c>
      <c r="L162" s="874" t="s">
        <v>2310</v>
      </c>
      <c r="M162" s="877">
        <v>500000</v>
      </c>
      <c r="N162" s="874" t="s">
        <v>2310</v>
      </c>
      <c r="O162" s="878">
        <v>500000</v>
      </c>
      <c r="P162" s="874" t="s">
        <v>2310</v>
      </c>
      <c r="Q162" s="878">
        <v>500000</v>
      </c>
      <c r="R162" s="874" t="s">
        <v>2310</v>
      </c>
      <c r="S162" s="877">
        <v>500000</v>
      </c>
      <c r="T162" s="608" t="s">
        <v>2311</v>
      </c>
    </row>
    <row r="163" spans="1:20" s="886" customFormat="1" ht="30.75" customHeight="1" x14ac:dyDescent="0.25">
      <c r="A163" s="882" t="s">
        <v>2314</v>
      </c>
      <c r="B163" s="883"/>
      <c r="C163" s="883"/>
      <c r="D163" s="883"/>
      <c r="E163" s="884"/>
      <c r="F163" s="885"/>
      <c r="G163" s="884"/>
      <c r="H163" s="885"/>
      <c r="I163" s="885"/>
      <c r="J163" s="885"/>
      <c r="K163" s="885"/>
      <c r="L163" s="885"/>
      <c r="M163" s="885"/>
      <c r="N163" s="885"/>
      <c r="O163" s="885"/>
      <c r="P163" s="885"/>
      <c r="Q163" s="885"/>
      <c r="R163" s="885"/>
      <c r="S163" s="885"/>
      <c r="T163" s="884"/>
    </row>
    <row r="164" spans="1:20" s="788" customFormat="1" ht="66" customHeight="1" x14ac:dyDescent="0.25">
      <c r="A164" s="887">
        <v>12</v>
      </c>
      <c r="B164" s="887" t="s">
        <v>2033</v>
      </c>
      <c r="C164" s="887">
        <v>17</v>
      </c>
      <c r="D164" s="887"/>
      <c r="E164" s="888" t="s">
        <v>2315</v>
      </c>
      <c r="F164" s="889" t="s">
        <v>2316</v>
      </c>
      <c r="G164" s="890" t="s">
        <v>2317</v>
      </c>
      <c r="H164" s="891" t="s">
        <v>2318</v>
      </c>
      <c r="I164" s="892">
        <v>665870000</v>
      </c>
      <c r="J164" s="887" t="s">
        <v>2319</v>
      </c>
      <c r="K164" s="892">
        <v>732457000</v>
      </c>
      <c r="L164" s="887" t="s">
        <v>2320</v>
      </c>
      <c r="M164" s="893">
        <v>805702700</v>
      </c>
      <c r="N164" s="887" t="s">
        <v>2321</v>
      </c>
      <c r="O164" s="894">
        <v>886272970</v>
      </c>
      <c r="P164" s="887" t="s">
        <v>2322</v>
      </c>
      <c r="Q164" s="894">
        <v>886272970</v>
      </c>
      <c r="R164" s="887" t="s">
        <v>2322</v>
      </c>
      <c r="S164" s="894">
        <v>886272970</v>
      </c>
      <c r="T164" s="890" t="s">
        <v>2323</v>
      </c>
    </row>
    <row r="165" spans="1:20" s="788" customFormat="1" ht="43.5" customHeight="1" x14ac:dyDescent="0.25">
      <c r="A165" s="455">
        <v>12</v>
      </c>
      <c r="B165" s="455" t="s">
        <v>2033</v>
      </c>
      <c r="C165" s="455">
        <v>24</v>
      </c>
      <c r="D165" s="455"/>
      <c r="E165" s="895" t="s">
        <v>644</v>
      </c>
      <c r="F165" s="896" t="s">
        <v>2324</v>
      </c>
      <c r="G165" s="897" t="s">
        <v>2325</v>
      </c>
      <c r="H165" s="455" t="s">
        <v>2326</v>
      </c>
      <c r="I165" s="898">
        <v>94268000</v>
      </c>
      <c r="J165" s="455" t="s">
        <v>2327</v>
      </c>
      <c r="K165" s="898">
        <v>103694800</v>
      </c>
      <c r="L165" s="455" t="s">
        <v>2328</v>
      </c>
      <c r="M165" s="893">
        <v>114064280</v>
      </c>
      <c r="N165" s="455" t="s">
        <v>2329</v>
      </c>
      <c r="O165" s="899">
        <v>125470708</v>
      </c>
      <c r="P165" s="455" t="s">
        <v>2330</v>
      </c>
      <c r="Q165" s="899">
        <v>138017779</v>
      </c>
      <c r="R165" s="455" t="s">
        <v>2330</v>
      </c>
      <c r="S165" s="899">
        <v>151819557</v>
      </c>
      <c r="T165" s="897" t="s">
        <v>2323</v>
      </c>
    </row>
    <row r="166" spans="1:20" s="788" customFormat="1" ht="80.25" customHeight="1" x14ac:dyDescent="0.25">
      <c r="A166" s="455">
        <v>12</v>
      </c>
      <c r="B166" s="455" t="s">
        <v>2033</v>
      </c>
      <c r="C166" s="455"/>
      <c r="D166" s="455"/>
      <c r="E166" s="895" t="s">
        <v>2331</v>
      </c>
      <c r="F166" s="896" t="s">
        <v>2332</v>
      </c>
      <c r="G166" s="897" t="s">
        <v>2333</v>
      </c>
      <c r="H166" s="900" t="s">
        <v>2334</v>
      </c>
      <c r="I166" s="898">
        <v>60000000</v>
      </c>
      <c r="J166" s="455" t="s">
        <v>2335</v>
      </c>
      <c r="K166" s="898">
        <v>66000000</v>
      </c>
      <c r="L166" s="900" t="s">
        <v>2334</v>
      </c>
      <c r="M166" s="893">
        <v>72600000</v>
      </c>
      <c r="N166" s="455" t="s">
        <v>2334</v>
      </c>
      <c r="O166" s="899">
        <v>79860000</v>
      </c>
      <c r="P166" s="900" t="s">
        <v>2334</v>
      </c>
      <c r="Q166" s="899">
        <v>105000000</v>
      </c>
      <c r="R166" s="900" t="s">
        <v>2334</v>
      </c>
      <c r="S166" s="899">
        <v>105000000</v>
      </c>
      <c r="T166" s="897" t="s">
        <v>631</v>
      </c>
    </row>
    <row r="167" spans="1:20" s="788" customFormat="1" ht="55.5" customHeight="1" x14ac:dyDescent="0.25">
      <c r="A167" s="455">
        <v>12</v>
      </c>
      <c r="B167" s="455" t="s">
        <v>2033</v>
      </c>
      <c r="C167" s="455">
        <v>15</v>
      </c>
      <c r="D167" s="456"/>
      <c r="E167" s="901" t="s">
        <v>2336</v>
      </c>
      <c r="F167" s="902" t="s">
        <v>2337</v>
      </c>
      <c r="G167" s="897" t="s">
        <v>2338</v>
      </c>
      <c r="H167" s="455" t="s">
        <v>2339</v>
      </c>
      <c r="I167" s="903">
        <f>588180500</f>
        <v>588180500</v>
      </c>
      <c r="J167" s="455" t="s">
        <v>2340</v>
      </c>
      <c r="K167" s="903">
        <v>50000000</v>
      </c>
      <c r="L167" s="455" t="s">
        <v>2341</v>
      </c>
      <c r="M167" s="904">
        <v>55000000</v>
      </c>
      <c r="N167" s="455" t="s">
        <v>2342</v>
      </c>
      <c r="O167" s="903">
        <v>60500000</v>
      </c>
      <c r="P167" s="455" t="s">
        <v>2343</v>
      </c>
      <c r="Q167" s="903">
        <v>66550000</v>
      </c>
      <c r="R167" s="455" t="s">
        <v>2343</v>
      </c>
      <c r="S167" s="905">
        <v>66550000</v>
      </c>
      <c r="T167" s="897" t="s">
        <v>2323</v>
      </c>
    </row>
    <row r="168" spans="1:20" s="788" customFormat="1" ht="77.25" customHeight="1" x14ac:dyDescent="0.25">
      <c r="A168" s="455">
        <v>12</v>
      </c>
      <c r="B168" s="455" t="s">
        <v>2033</v>
      </c>
      <c r="C168" s="455">
        <v>18</v>
      </c>
      <c r="D168" s="456"/>
      <c r="E168" s="895" t="s">
        <v>2344</v>
      </c>
      <c r="F168" s="902" t="s">
        <v>2345</v>
      </c>
      <c r="G168" s="897" t="s">
        <v>2346</v>
      </c>
      <c r="H168" s="455" t="s">
        <v>2347</v>
      </c>
      <c r="I168" s="904">
        <v>86454000</v>
      </c>
      <c r="J168" s="455" t="s">
        <v>2348</v>
      </c>
      <c r="K168" s="904">
        <f>95099400</f>
        <v>95099400</v>
      </c>
      <c r="L168" s="455" t="s">
        <v>2349</v>
      </c>
      <c r="M168" s="904">
        <v>104609340</v>
      </c>
      <c r="N168" s="455" t="s">
        <v>2350</v>
      </c>
      <c r="O168" s="903">
        <v>115070274</v>
      </c>
      <c r="P168" s="455" t="s">
        <v>2351</v>
      </c>
      <c r="Q168" s="903">
        <v>126577301</v>
      </c>
      <c r="R168" s="455" t="s">
        <v>2351</v>
      </c>
      <c r="S168" s="905">
        <v>120708457</v>
      </c>
      <c r="T168" s="897" t="s">
        <v>2323</v>
      </c>
    </row>
    <row r="169" spans="1:20" s="788" customFormat="1" ht="85.5" customHeight="1" x14ac:dyDescent="0.25">
      <c r="A169" s="455">
        <v>12</v>
      </c>
      <c r="B169" s="455" t="s">
        <v>2033</v>
      </c>
      <c r="C169" s="455">
        <v>20</v>
      </c>
      <c r="D169" s="456"/>
      <c r="E169" s="895" t="s">
        <v>2352</v>
      </c>
      <c r="F169" s="902" t="s">
        <v>2353</v>
      </c>
      <c r="G169" s="897" t="s">
        <v>2354</v>
      </c>
      <c r="H169" s="900" t="s">
        <v>2355</v>
      </c>
      <c r="I169" s="904">
        <v>101253000</v>
      </c>
      <c r="J169" s="900" t="s">
        <v>2356</v>
      </c>
      <c r="K169" s="903">
        <f>111378300</f>
        <v>111378300</v>
      </c>
      <c r="L169" s="906" t="s">
        <v>2357</v>
      </c>
      <c r="M169" s="904">
        <f>122516130</f>
        <v>122516130</v>
      </c>
      <c r="N169" s="900" t="s">
        <v>2358</v>
      </c>
      <c r="O169" s="904">
        <f>134767743</f>
        <v>134767743</v>
      </c>
      <c r="P169" s="900" t="s">
        <v>2359</v>
      </c>
      <c r="Q169" s="907">
        <f>148244517</f>
        <v>148244517</v>
      </c>
      <c r="R169" s="900" t="s">
        <v>2359</v>
      </c>
      <c r="S169" s="908">
        <v>148244743</v>
      </c>
      <c r="T169" s="897" t="s">
        <v>2323</v>
      </c>
    </row>
    <row r="170" spans="1:20" s="788" customFormat="1" ht="95.25" customHeight="1" x14ac:dyDescent="0.25">
      <c r="A170" s="455">
        <v>12</v>
      </c>
      <c r="B170" s="455" t="s">
        <v>2033</v>
      </c>
      <c r="C170" s="455">
        <v>23</v>
      </c>
      <c r="D170" s="456"/>
      <c r="E170" s="895" t="s">
        <v>2360</v>
      </c>
      <c r="F170" s="902" t="s">
        <v>2361</v>
      </c>
      <c r="G170" s="897" t="s">
        <v>2362</v>
      </c>
      <c r="H170" s="900" t="s">
        <v>2326</v>
      </c>
      <c r="I170" s="904">
        <v>94268000</v>
      </c>
      <c r="J170" s="909" t="s">
        <v>2363</v>
      </c>
      <c r="K170" s="904">
        <f>103694800</f>
        <v>103694800</v>
      </c>
      <c r="L170" s="909" t="s">
        <v>2328</v>
      </c>
      <c r="M170" s="904">
        <f>114064280</f>
        <v>114064280</v>
      </c>
      <c r="N170" s="455" t="s">
        <v>2364</v>
      </c>
      <c r="O170" s="904">
        <v>125470708</v>
      </c>
      <c r="P170" s="909" t="s">
        <v>2330</v>
      </c>
      <c r="Q170" s="904">
        <f>138017779</f>
        <v>138017779</v>
      </c>
      <c r="R170" s="900" t="s">
        <v>2330</v>
      </c>
      <c r="S170" s="910">
        <v>151819557</v>
      </c>
      <c r="T170" s="897" t="s">
        <v>2323</v>
      </c>
    </row>
    <row r="171" spans="1:20" s="788" customFormat="1" ht="58.5" customHeight="1" x14ac:dyDescent="0.25">
      <c r="A171" s="455">
        <v>12</v>
      </c>
      <c r="B171" s="455" t="s">
        <v>2033</v>
      </c>
      <c r="C171" s="530" t="s">
        <v>2033</v>
      </c>
      <c r="D171" s="541"/>
      <c r="E171" s="911" t="s">
        <v>2365</v>
      </c>
      <c r="F171" s="613" t="s">
        <v>2366</v>
      </c>
      <c r="G171" s="912"/>
      <c r="H171" s="556" t="s">
        <v>1138</v>
      </c>
      <c r="I171" s="913">
        <v>234642000</v>
      </c>
      <c r="J171" s="556" t="s">
        <v>2367</v>
      </c>
      <c r="K171" s="913">
        <f>258106200</f>
        <v>258106200</v>
      </c>
      <c r="L171" s="556" t="s">
        <v>2368</v>
      </c>
      <c r="M171" s="913">
        <f>283916820</f>
        <v>283916820</v>
      </c>
      <c r="N171" s="556" t="s">
        <v>2369</v>
      </c>
      <c r="O171" s="913">
        <f>312308502</f>
        <v>312308502</v>
      </c>
      <c r="P171" s="556" t="s">
        <v>2370</v>
      </c>
      <c r="Q171" s="913">
        <v>343539352</v>
      </c>
      <c r="R171" s="556" t="s">
        <v>2370</v>
      </c>
      <c r="S171" s="914">
        <v>149715938</v>
      </c>
      <c r="T171" s="912" t="s">
        <v>2323</v>
      </c>
    </row>
    <row r="172" spans="1:20" s="788" customFormat="1" ht="58.5" customHeight="1" x14ac:dyDescent="0.25">
      <c r="A172" s="455">
        <v>12</v>
      </c>
      <c r="B172" s="455" t="s">
        <v>2033</v>
      </c>
      <c r="C172" s="455">
        <v>16</v>
      </c>
      <c r="D172" s="456"/>
      <c r="E172" s="895" t="s">
        <v>1852</v>
      </c>
      <c r="F172" s="902" t="s">
        <v>2371</v>
      </c>
      <c r="G172" s="915" t="s">
        <v>217</v>
      </c>
      <c r="H172" s="555" t="s">
        <v>217</v>
      </c>
      <c r="I172" s="916" t="s">
        <v>217</v>
      </c>
      <c r="J172" s="612" t="s">
        <v>2372</v>
      </c>
      <c r="K172" s="913">
        <v>150000</v>
      </c>
      <c r="L172" s="612" t="s">
        <v>2373</v>
      </c>
      <c r="M172" s="913">
        <v>180000</v>
      </c>
      <c r="N172" s="612" t="s">
        <v>2374</v>
      </c>
      <c r="O172" s="913">
        <f>210000000/1000</f>
        <v>210000</v>
      </c>
      <c r="P172" s="612" t="s">
        <v>2375</v>
      </c>
      <c r="Q172" s="913">
        <f>240000000/1000</f>
        <v>240000</v>
      </c>
      <c r="R172" s="612" t="s">
        <v>2375</v>
      </c>
      <c r="S172" s="914">
        <f>240000000/1000</f>
        <v>240000</v>
      </c>
      <c r="T172" s="912" t="s">
        <v>2323</v>
      </c>
    </row>
    <row r="173" spans="1:20" s="788" customFormat="1" ht="68.25" customHeight="1" x14ac:dyDescent="0.25">
      <c r="A173" s="455">
        <v>12</v>
      </c>
      <c r="B173" s="455" t="s">
        <v>2033</v>
      </c>
      <c r="C173" s="530" t="s">
        <v>2033</v>
      </c>
      <c r="D173" s="456"/>
      <c r="E173" s="895" t="s">
        <v>2376</v>
      </c>
      <c r="F173" s="902" t="s">
        <v>2377</v>
      </c>
      <c r="G173" s="915" t="s">
        <v>217</v>
      </c>
      <c r="H173" s="555" t="s">
        <v>217</v>
      </c>
      <c r="I173" s="916" t="s">
        <v>217</v>
      </c>
      <c r="J173" s="612" t="s">
        <v>2378</v>
      </c>
      <c r="K173" s="913">
        <v>120000</v>
      </c>
      <c r="L173" s="612" t="s">
        <v>2378</v>
      </c>
      <c r="M173" s="913">
        <v>150000</v>
      </c>
      <c r="N173" s="612" t="s">
        <v>2378</v>
      </c>
      <c r="O173" s="913">
        <f>180000000/1000</f>
        <v>180000</v>
      </c>
      <c r="P173" s="612" t="s">
        <v>2378</v>
      </c>
      <c r="Q173" s="913">
        <f>200000000/1000</f>
        <v>200000</v>
      </c>
      <c r="R173" s="612" t="s">
        <v>2378</v>
      </c>
      <c r="S173" s="914">
        <f>200000000/1000</f>
        <v>200000</v>
      </c>
      <c r="T173" s="912" t="s">
        <v>2323</v>
      </c>
    </row>
    <row r="174" spans="1:20" s="788" customFormat="1" ht="75" customHeight="1" x14ac:dyDescent="0.25">
      <c r="A174" s="455">
        <v>12</v>
      </c>
      <c r="B174" s="455" t="s">
        <v>2033</v>
      </c>
      <c r="C174" s="530" t="s">
        <v>2033</v>
      </c>
      <c r="D174" s="456"/>
      <c r="E174" s="895" t="s">
        <v>2379</v>
      </c>
      <c r="F174" s="902" t="s">
        <v>2380</v>
      </c>
      <c r="G174" s="915" t="s">
        <v>217</v>
      </c>
      <c r="H174" s="555" t="s">
        <v>217</v>
      </c>
      <c r="I174" s="916" t="s">
        <v>217</v>
      </c>
      <c r="J174" s="556" t="s">
        <v>2381</v>
      </c>
      <c r="K174" s="913">
        <f>100000000/1000</f>
        <v>100000</v>
      </c>
      <c r="L174" s="556" t="s">
        <v>2382</v>
      </c>
      <c r="M174" s="913">
        <f>120000000/1000</f>
        <v>120000</v>
      </c>
      <c r="N174" s="556" t="s">
        <v>2383</v>
      </c>
      <c r="O174" s="913">
        <f>150000000/1000</f>
        <v>150000</v>
      </c>
      <c r="P174" s="556" t="s">
        <v>2384</v>
      </c>
      <c r="Q174" s="917">
        <f>170000000/1000</f>
        <v>170000</v>
      </c>
      <c r="R174" s="612" t="s">
        <v>2384</v>
      </c>
      <c r="S174" s="918">
        <f>170000000/1000</f>
        <v>170000</v>
      </c>
      <c r="T174" s="912" t="s">
        <v>2323</v>
      </c>
    </row>
    <row r="175" spans="1:20" ht="27.75" customHeight="1" x14ac:dyDescent="0.25">
      <c r="A175" s="1520" t="s">
        <v>865</v>
      </c>
      <c r="B175" s="1520"/>
      <c r="C175" s="1520"/>
      <c r="D175" s="1520"/>
      <c r="E175" s="1520"/>
      <c r="F175" s="1520"/>
      <c r="G175" s="1520"/>
      <c r="H175" s="919"/>
      <c r="I175" s="919"/>
      <c r="J175" s="919"/>
      <c r="K175" s="919"/>
      <c r="L175" s="919"/>
      <c r="M175" s="919"/>
      <c r="N175" s="919"/>
      <c r="O175" s="919"/>
      <c r="P175" s="919"/>
      <c r="Q175" s="919"/>
      <c r="R175" s="919"/>
      <c r="S175" s="919"/>
      <c r="T175" s="920"/>
    </row>
    <row r="176" spans="1:20" ht="68.25" customHeight="1" x14ac:dyDescent="0.25">
      <c r="A176" s="613">
        <v>1</v>
      </c>
      <c r="B176" s="921">
        <v>11</v>
      </c>
      <c r="C176" s="613">
        <v>16</v>
      </c>
      <c r="D176" s="613"/>
      <c r="E176" s="557" t="s">
        <v>864</v>
      </c>
      <c r="F176" s="685" t="s">
        <v>2385</v>
      </c>
      <c r="G176" s="922" t="s">
        <v>2386</v>
      </c>
      <c r="H176" s="923" t="s">
        <v>2387</v>
      </c>
      <c r="I176" s="924">
        <v>160000</v>
      </c>
      <c r="J176" s="923" t="s">
        <v>2387</v>
      </c>
      <c r="K176" s="924">
        <v>331000</v>
      </c>
      <c r="L176" s="923" t="s">
        <v>2387</v>
      </c>
      <c r="M176" s="924">
        <f>K176+K176*10%</f>
        <v>364100</v>
      </c>
      <c r="N176" s="923" t="s">
        <v>2387</v>
      </c>
      <c r="O176" s="924">
        <f>M176+M176*10%</f>
        <v>400510</v>
      </c>
      <c r="P176" s="923" t="s">
        <v>2387</v>
      </c>
      <c r="Q176" s="925">
        <f>O176*10%+O176</f>
        <v>440561</v>
      </c>
      <c r="R176" s="923" t="s">
        <v>2387</v>
      </c>
      <c r="S176" s="924">
        <f>Q176*10%+Q176</f>
        <v>484617.1</v>
      </c>
      <c r="T176" s="1521" t="s">
        <v>2388</v>
      </c>
    </row>
    <row r="177" spans="1:20" ht="68.25" customHeight="1" x14ac:dyDescent="0.25">
      <c r="A177" s="613">
        <v>1</v>
      </c>
      <c r="B177" s="613">
        <v>11</v>
      </c>
      <c r="C177" s="613">
        <v>17</v>
      </c>
      <c r="D177" s="613"/>
      <c r="E177" s="557" t="s">
        <v>886</v>
      </c>
      <c r="F177" s="685" t="s">
        <v>2389</v>
      </c>
      <c r="G177" s="926" t="s">
        <v>2390</v>
      </c>
      <c r="H177" s="927">
        <v>0.66</v>
      </c>
      <c r="I177" s="924">
        <v>1100000</v>
      </c>
      <c r="J177" s="927">
        <v>0.69</v>
      </c>
      <c r="K177" s="924">
        <v>425000</v>
      </c>
      <c r="L177" s="927">
        <v>0.72</v>
      </c>
      <c r="M177" s="924">
        <f>K177*10%+K177</f>
        <v>467500</v>
      </c>
      <c r="N177" s="927">
        <v>0.75</v>
      </c>
      <c r="O177" s="924">
        <f>M177*10%+M177</f>
        <v>514250</v>
      </c>
      <c r="P177" s="927">
        <v>0.78</v>
      </c>
      <c r="Q177" s="925">
        <f>O177*10%+O177</f>
        <v>565675</v>
      </c>
      <c r="R177" s="927">
        <v>0.81</v>
      </c>
      <c r="S177" s="924">
        <f>Q177*10%+Q177</f>
        <v>622242.5</v>
      </c>
      <c r="T177" s="1521"/>
    </row>
    <row r="178" spans="1:20" ht="67.5" x14ac:dyDescent="0.25">
      <c r="A178" s="613">
        <v>1</v>
      </c>
      <c r="B178" s="613">
        <v>11</v>
      </c>
      <c r="C178" s="613">
        <v>18</v>
      </c>
      <c r="D178" s="921"/>
      <c r="E178" s="557" t="s">
        <v>874</v>
      </c>
      <c r="F178" s="685" t="s">
        <v>2391</v>
      </c>
      <c r="G178" s="922" t="s">
        <v>2392</v>
      </c>
      <c r="H178" s="923" t="s">
        <v>2393</v>
      </c>
      <c r="I178" s="924">
        <v>185000</v>
      </c>
      <c r="J178" s="923" t="s">
        <v>2394</v>
      </c>
      <c r="K178" s="924">
        <f>I178*10%+I178</f>
        <v>203500</v>
      </c>
      <c r="L178" s="923" t="s">
        <v>2395</v>
      </c>
      <c r="M178" s="924">
        <f>K178+K178*10%</f>
        <v>223850</v>
      </c>
      <c r="N178" s="923" t="s">
        <v>2396</v>
      </c>
      <c r="O178" s="924">
        <f>M178+M178*10%</f>
        <v>246235</v>
      </c>
      <c r="P178" s="923" t="s">
        <v>2397</v>
      </c>
      <c r="Q178" s="925">
        <f>O178*10%+O178</f>
        <v>270858.5</v>
      </c>
      <c r="R178" s="923" t="s">
        <v>2398</v>
      </c>
      <c r="S178" s="924">
        <f>Q178*10%+Q178</f>
        <v>297944.34999999998</v>
      </c>
      <c r="T178" s="1521"/>
    </row>
    <row r="179" spans="1:20" ht="51" customHeight="1" x14ac:dyDescent="0.25">
      <c r="A179" s="520">
        <v>1</v>
      </c>
      <c r="B179" s="520">
        <v>11</v>
      </c>
      <c r="C179" s="520">
        <v>32</v>
      </c>
      <c r="D179" s="520"/>
      <c r="E179" s="457" t="s">
        <v>2399</v>
      </c>
      <c r="F179" s="928" t="s">
        <v>2400</v>
      </c>
      <c r="G179" s="929" t="s">
        <v>2281</v>
      </c>
      <c r="H179" s="930" t="s">
        <v>2089</v>
      </c>
      <c r="I179" s="931">
        <v>75000</v>
      </c>
      <c r="J179" s="930" t="s">
        <v>2089</v>
      </c>
      <c r="K179" s="931">
        <f>I179*10%+I179</f>
        <v>82500</v>
      </c>
      <c r="L179" s="930" t="s">
        <v>2089</v>
      </c>
      <c r="M179" s="931">
        <f>K179*10%+K179</f>
        <v>90750</v>
      </c>
      <c r="N179" s="930" t="s">
        <v>2089</v>
      </c>
      <c r="O179" s="931">
        <f>M179*10%+M179</f>
        <v>99825</v>
      </c>
      <c r="P179" s="930" t="s">
        <v>2089</v>
      </c>
      <c r="Q179" s="932">
        <f>O179*10%+O179</f>
        <v>109807.5</v>
      </c>
      <c r="R179" s="930" t="s">
        <v>2083</v>
      </c>
      <c r="S179" s="931">
        <f>Q179*10%+Q179</f>
        <v>120788.25</v>
      </c>
      <c r="T179" s="1521"/>
    </row>
    <row r="180" spans="1:20" ht="36" customHeight="1" x14ac:dyDescent="0.25">
      <c r="A180" s="933" t="s">
        <v>2401</v>
      </c>
      <c r="B180" s="933"/>
      <c r="C180" s="933"/>
      <c r="D180" s="933"/>
      <c r="E180" s="934"/>
      <c r="F180" s="935"/>
      <c r="G180" s="934"/>
      <c r="H180" s="935"/>
      <c r="I180" s="935"/>
      <c r="J180" s="935"/>
      <c r="K180" s="935"/>
      <c r="L180" s="935"/>
      <c r="M180" s="935"/>
      <c r="N180" s="935"/>
      <c r="O180" s="935"/>
      <c r="P180" s="935"/>
      <c r="Q180" s="935"/>
      <c r="R180" s="935"/>
      <c r="S180" s="935"/>
      <c r="T180" s="934"/>
    </row>
    <row r="181" spans="1:20" ht="71.25" customHeight="1" x14ac:dyDescent="0.25">
      <c r="A181" s="909">
        <v>24</v>
      </c>
      <c r="B181" s="556">
        <v>24</v>
      </c>
      <c r="C181" s="556">
        <v>21</v>
      </c>
      <c r="D181" s="541"/>
      <c r="E181" s="685" t="s">
        <v>2402</v>
      </c>
      <c r="F181" s="557" t="s">
        <v>2403</v>
      </c>
      <c r="G181" s="562" t="s">
        <v>2404</v>
      </c>
      <c r="H181" s="936" t="s">
        <v>2405</v>
      </c>
      <c r="I181" s="937">
        <v>712372</v>
      </c>
      <c r="J181" s="936" t="s">
        <v>2405</v>
      </c>
      <c r="K181" s="937">
        <f>I181*10/100+I181</f>
        <v>783609.2</v>
      </c>
      <c r="L181" s="936" t="s">
        <v>2405</v>
      </c>
      <c r="M181" s="937">
        <f>K181*10/100+K181</f>
        <v>861970.12</v>
      </c>
      <c r="N181" s="936" t="s">
        <v>2406</v>
      </c>
      <c r="O181" s="937">
        <f>M181*10/100+M181</f>
        <v>948167.13199999998</v>
      </c>
      <c r="P181" s="936" t="s">
        <v>2406</v>
      </c>
      <c r="Q181" s="937">
        <f>O181*10/100+O181</f>
        <v>1042983.8452</v>
      </c>
      <c r="R181" s="936" t="s">
        <v>2406</v>
      </c>
      <c r="S181" s="938">
        <f>1042983845/1000</f>
        <v>1042983.845</v>
      </c>
      <c r="T181" s="557" t="s">
        <v>2407</v>
      </c>
    </row>
    <row r="182" spans="1:20" ht="31.5" customHeight="1" x14ac:dyDescent="0.25">
      <c r="A182" s="1480" t="s">
        <v>2408</v>
      </c>
      <c r="B182" s="1480"/>
      <c r="C182" s="1480"/>
      <c r="D182" s="1480"/>
      <c r="E182" s="1480"/>
      <c r="F182" s="1480"/>
      <c r="G182" s="1480"/>
      <c r="H182" s="1480"/>
      <c r="I182" s="1480"/>
      <c r="J182" s="1480"/>
      <c r="K182" s="1480"/>
      <c r="L182" s="1480"/>
      <c r="M182" s="1480"/>
      <c r="N182" s="1480"/>
      <c r="O182" s="1480"/>
      <c r="P182" s="1480"/>
      <c r="Q182" s="1480"/>
      <c r="R182" s="1480"/>
      <c r="S182" s="1480"/>
      <c r="T182" s="1480"/>
    </row>
    <row r="183" spans="1:20" ht="30" customHeight="1" x14ac:dyDescent="0.25">
      <c r="A183" s="492" t="s">
        <v>1096</v>
      </c>
      <c r="B183" s="493"/>
      <c r="C183" s="493"/>
      <c r="D183" s="493"/>
      <c r="E183" s="939"/>
      <c r="F183" s="940"/>
      <c r="G183" s="941"/>
      <c r="H183" s="942"/>
      <c r="I183" s="943"/>
      <c r="J183" s="944"/>
      <c r="K183" s="945"/>
      <c r="L183" s="944"/>
      <c r="M183" s="945"/>
      <c r="N183" s="944"/>
      <c r="O183" s="945"/>
      <c r="P183" s="944"/>
      <c r="Q183" s="945"/>
      <c r="R183" s="944"/>
      <c r="S183" s="945"/>
      <c r="T183" s="946"/>
    </row>
    <row r="184" spans="1:20" ht="170.25" customHeight="1" x14ac:dyDescent="0.25">
      <c r="A184" s="612">
        <v>1</v>
      </c>
      <c r="B184" s="947">
        <v>10</v>
      </c>
      <c r="C184" s="612" t="s">
        <v>2033</v>
      </c>
      <c r="D184" s="948">
        <v>15</v>
      </c>
      <c r="E184" s="685" t="s">
        <v>2409</v>
      </c>
      <c r="F184" s="557" t="s">
        <v>2410</v>
      </c>
      <c r="G184" s="949" t="s">
        <v>2411</v>
      </c>
      <c r="H184" s="949" t="s">
        <v>2411</v>
      </c>
      <c r="I184" s="628">
        <v>550305</v>
      </c>
      <c r="J184" s="949" t="s">
        <v>2412</v>
      </c>
      <c r="K184" s="950">
        <v>995286</v>
      </c>
      <c r="L184" s="949" t="s">
        <v>2413</v>
      </c>
      <c r="M184" s="664">
        <v>1000000</v>
      </c>
      <c r="N184" s="949" t="s">
        <v>2414</v>
      </c>
      <c r="O184" s="664">
        <v>1100000</v>
      </c>
      <c r="P184" s="949" t="s">
        <v>2415</v>
      </c>
      <c r="Q184" s="664">
        <v>1200000</v>
      </c>
      <c r="R184" s="949" t="s">
        <v>2416</v>
      </c>
      <c r="S184" s="664">
        <v>1300000</v>
      </c>
      <c r="T184" s="562" t="s">
        <v>2417</v>
      </c>
    </row>
    <row r="185" spans="1:20" s="446" customFormat="1" ht="22.5" customHeight="1" x14ac:dyDescent="0.25">
      <c r="A185" s="882" t="s">
        <v>938</v>
      </c>
      <c r="B185" s="951"/>
      <c r="C185" s="952"/>
      <c r="D185" s="952"/>
      <c r="E185" s="953"/>
      <c r="F185" s="954"/>
      <c r="G185" s="955"/>
      <c r="H185" s="955"/>
      <c r="I185" s="956"/>
      <c r="J185" s="955"/>
      <c r="K185" s="957"/>
      <c r="L185" s="955"/>
      <c r="M185" s="958"/>
      <c r="N185" s="955"/>
      <c r="O185" s="958"/>
      <c r="P185" s="955"/>
      <c r="Q185" s="958"/>
      <c r="R185" s="955"/>
      <c r="S185" s="958"/>
      <c r="T185" s="959"/>
    </row>
    <row r="186" spans="1:20" s="963" customFormat="1" ht="53.25" customHeight="1" x14ac:dyDescent="0.25">
      <c r="A186" s="555" t="s">
        <v>1915</v>
      </c>
      <c r="B186" s="555" t="s">
        <v>1920</v>
      </c>
      <c r="C186" s="556">
        <v>15</v>
      </c>
      <c r="D186" s="960"/>
      <c r="E186" s="613" t="s">
        <v>937</v>
      </c>
      <c r="F186" s="911" t="s">
        <v>2418</v>
      </c>
      <c r="G186" s="612" t="s">
        <v>2419</v>
      </c>
      <c r="H186" s="612" t="s">
        <v>2419</v>
      </c>
      <c r="I186" s="961">
        <v>350000</v>
      </c>
      <c r="J186" s="556" t="s">
        <v>2420</v>
      </c>
      <c r="K186" s="961">
        <v>700000</v>
      </c>
      <c r="L186" s="556" t="s">
        <v>942</v>
      </c>
      <c r="M186" s="961">
        <v>525000</v>
      </c>
      <c r="N186" s="556" t="s">
        <v>2419</v>
      </c>
      <c r="O186" s="961">
        <v>450000</v>
      </c>
      <c r="P186" s="556" t="s">
        <v>2419</v>
      </c>
      <c r="Q186" s="961">
        <v>450000</v>
      </c>
      <c r="R186" s="556" t="s">
        <v>2419</v>
      </c>
      <c r="S186" s="962">
        <f>Q186+O186+M186+K186+I186</f>
        <v>2475000</v>
      </c>
      <c r="T186" s="612" t="s">
        <v>2087</v>
      </c>
    </row>
    <row r="187" spans="1:20" s="963" customFormat="1" ht="57.75" customHeight="1" x14ac:dyDescent="0.25">
      <c r="A187" s="599" t="s">
        <v>1915</v>
      </c>
      <c r="B187" s="599" t="s">
        <v>1920</v>
      </c>
      <c r="C187" s="600" t="s">
        <v>2033</v>
      </c>
      <c r="D187" s="964"/>
      <c r="E187" s="965" t="s">
        <v>943</v>
      </c>
      <c r="F187" s="966" t="s">
        <v>2421</v>
      </c>
      <c r="G187" s="870">
        <v>0</v>
      </c>
      <c r="H187" s="600">
        <v>0</v>
      </c>
      <c r="I187" s="600">
        <v>0</v>
      </c>
      <c r="J187" s="600">
        <v>0</v>
      </c>
      <c r="K187" s="600">
        <v>0</v>
      </c>
      <c r="L187" s="600" t="s">
        <v>2083</v>
      </c>
      <c r="M187" s="967">
        <v>150000</v>
      </c>
      <c r="N187" s="600" t="s">
        <v>2083</v>
      </c>
      <c r="O187" s="967">
        <v>200000</v>
      </c>
      <c r="P187" s="600" t="s">
        <v>2083</v>
      </c>
      <c r="Q187" s="967">
        <v>250000</v>
      </c>
      <c r="R187" s="600" t="s">
        <v>2083</v>
      </c>
      <c r="S187" s="968">
        <f>Q187+O187+M187+K187+I187</f>
        <v>600000</v>
      </c>
      <c r="T187" s="870" t="s">
        <v>2087</v>
      </c>
    </row>
    <row r="188" spans="1:20" ht="53.25" customHeight="1" x14ac:dyDescent="0.25">
      <c r="A188" s="599" t="s">
        <v>1915</v>
      </c>
      <c r="B188" s="599" t="s">
        <v>1920</v>
      </c>
      <c r="C188" s="600">
        <v>15</v>
      </c>
      <c r="D188" s="601"/>
      <c r="E188" s="965" t="s">
        <v>2422</v>
      </c>
      <c r="F188" s="969" t="s">
        <v>2423</v>
      </c>
      <c r="G188" s="874" t="s">
        <v>2424</v>
      </c>
      <c r="H188" s="874" t="s">
        <v>2424</v>
      </c>
      <c r="I188" s="970">
        <v>242917</v>
      </c>
      <c r="J188" s="874" t="s">
        <v>2425</v>
      </c>
      <c r="K188" s="970">
        <v>250000</v>
      </c>
      <c r="L188" s="874" t="s">
        <v>2425</v>
      </c>
      <c r="M188" s="971">
        <v>250000</v>
      </c>
      <c r="N188" s="874" t="s">
        <v>2425</v>
      </c>
      <c r="O188" s="970">
        <v>250000</v>
      </c>
      <c r="P188" s="874" t="s">
        <v>2425</v>
      </c>
      <c r="Q188" s="970">
        <v>250000</v>
      </c>
      <c r="R188" s="874" t="s">
        <v>2425</v>
      </c>
      <c r="S188" s="607">
        <f>Q188+O188+M188+K188+I188</f>
        <v>1242917</v>
      </c>
      <c r="T188" s="608" t="s">
        <v>2087</v>
      </c>
    </row>
    <row r="189" spans="1:20" ht="26.25" customHeight="1" x14ac:dyDescent="0.25">
      <c r="A189" s="1477" t="s">
        <v>2426</v>
      </c>
      <c r="B189" s="1478"/>
      <c r="C189" s="1478"/>
      <c r="D189" s="1478"/>
      <c r="E189" s="1479"/>
      <c r="F189" s="972"/>
      <c r="G189" s="954"/>
      <c r="H189" s="485"/>
      <c r="I189" s="485"/>
      <c r="J189" s="485"/>
      <c r="K189" s="485"/>
      <c r="L189" s="485"/>
      <c r="M189" s="485"/>
      <c r="N189" s="485"/>
      <c r="O189" s="485"/>
      <c r="P189" s="485"/>
      <c r="Q189" s="485"/>
      <c r="R189" s="485"/>
      <c r="S189" s="485"/>
      <c r="T189" s="484"/>
    </row>
    <row r="190" spans="1:20" s="463" customFormat="1" ht="94.5" customHeight="1" x14ac:dyDescent="0.25">
      <c r="A190" s="759">
        <v>1</v>
      </c>
      <c r="B190" s="758" t="s">
        <v>2427</v>
      </c>
      <c r="C190" s="759" t="s">
        <v>2033</v>
      </c>
      <c r="D190" s="973">
        <v>16</v>
      </c>
      <c r="E190" s="974" t="s">
        <v>2428</v>
      </c>
      <c r="F190" s="513" t="s">
        <v>2429</v>
      </c>
      <c r="G190" s="975" t="s">
        <v>2430</v>
      </c>
      <c r="H190" s="975" t="s">
        <v>2430</v>
      </c>
      <c r="I190" s="976">
        <v>129800</v>
      </c>
      <c r="J190" s="975" t="s">
        <v>2430</v>
      </c>
      <c r="K190" s="976">
        <v>192780</v>
      </c>
      <c r="L190" s="975" t="s">
        <v>2430</v>
      </c>
      <c r="M190" s="976">
        <v>157058</v>
      </c>
      <c r="N190" s="975" t="s">
        <v>2430</v>
      </c>
      <c r="O190" s="976">
        <v>172763</v>
      </c>
      <c r="P190" s="975" t="s">
        <v>2430</v>
      </c>
      <c r="Q190" s="976">
        <v>190040</v>
      </c>
      <c r="R190" s="975" t="s">
        <v>2430</v>
      </c>
      <c r="S190" s="976">
        <v>209044</v>
      </c>
      <c r="T190" s="977" t="s">
        <v>2431</v>
      </c>
    </row>
    <row r="191" spans="1:20" ht="54.75" customHeight="1" x14ac:dyDescent="0.25">
      <c r="A191" s="759">
        <v>1</v>
      </c>
      <c r="B191" s="758" t="s">
        <v>2427</v>
      </c>
      <c r="C191" s="759" t="s">
        <v>2033</v>
      </c>
      <c r="D191" s="973">
        <v>17</v>
      </c>
      <c r="E191" s="978" t="s">
        <v>2432</v>
      </c>
      <c r="F191" s="603" t="s">
        <v>2433</v>
      </c>
      <c r="G191" s="608" t="s">
        <v>2434</v>
      </c>
      <c r="H191" s="608" t="s">
        <v>2434</v>
      </c>
      <c r="I191" s="970">
        <f>115953+5118439</f>
        <v>5234392</v>
      </c>
      <c r="J191" s="608" t="s">
        <v>2434</v>
      </c>
      <c r="K191" s="970">
        <f>127548+5630283</f>
        <v>5757831</v>
      </c>
      <c r="L191" s="608" t="s">
        <v>2434</v>
      </c>
      <c r="M191" s="971">
        <f>140303+6193311</f>
        <v>6333614</v>
      </c>
      <c r="N191" s="608" t="s">
        <v>2434</v>
      </c>
      <c r="O191" s="970">
        <f>1543333+6812642</f>
        <v>8355975</v>
      </c>
      <c r="P191" s="608" t="s">
        <v>2434</v>
      </c>
      <c r="Q191" s="970">
        <f>169767+749390</f>
        <v>919157</v>
      </c>
      <c r="R191" s="608" t="s">
        <v>2434</v>
      </c>
      <c r="S191" s="607">
        <f>186244+8242297</f>
        <v>8428541</v>
      </c>
      <c r="T191" s="457" t="s">
        <v>2431</v>
      </c>
    </row>
    <row r="192" spans="1:20" ht="33.75" customHeight="1" x14ac:dyDescent="0.25">
      <c r="A192" s="882" t="s">
        <v>1246</v>
      </c>
      <c r="B192" s="882"/>
      <c r="C192" s="882"/>
      <c r="D192" s="882"/>
      <c r="E192" s="954"/>
      <c r="F192" s="972"/>
      <c r="G192" s="954"/>
      <c r="H192" s="485"/>
      <c r="I192" s="485"/>
      <c r="J192" s="485"/>
      <c r="K192" s="485"/>
      <c r="L192" s="485"/>
      <c r="M192" s="485"/>
      <c r="N192" s="485"/>
      <c r="O192" s="485"/>
      <c r="P192" s="485"/>
      <c r="Q192" s="485"/>
      <c r="R192" s="485"/>
      <c r="S192" s="485"/>
      <c r="T192" s="484"/>
    </row>
    <row r="193" spans="1:20" ht="70.5" customHeight="1" x14ac:dyDescent="0.25">
      <c r="A193" s="979">
        <v>1</v>
      </c>
      <c r="B193" s="979">
        <v>19</v>
      </c>
      <c r="C193" s="979" t="s">
        <v>2033</v>
      </c>
      <c r="D193" s="979">
        <v>18</v>
      </c>
      <c r="E193" s="557" t="s">
        <v>1245</v>
      </c>
      <c r="F193" s="980"/>
      <c r="G193" s="563">
        <v>2</v>
      </c>
      <c r="H193" s="936" t="s">
        <v>2435</v>
      </c>
      <c r="I193" s="648">
        <v>300000</v>
      </c>
      <c r="J193" s="936">
        <v>30</v>
      </c>
      <c r="K193" s="648">
        <v>600000</v>
      </c>
      <c r="L193" s="936">
        <v>65</v>
      </c>
      <c r="M193" s="648">
        <v>900000</v>
      </c>
      <c r="N193" s="936">
        <v>65</v>
      </c>
      <c r="O193" s="648">
        <v>1300000</v>
      </c>
      <c r="P193" s="936">
        <v>75</v>
      </c>
      <c r="Q193" s="648">
        <v>1500000</v>
      </c>
      <c r="R193" s="936">
        <v>379</v>
      </c>
      <c r="S193" s="648">
        <v>3790000</v>
      </c>
      <c r="T193" s="562" t="s">
        <v>1247</v>
      </c>
    </row>
    <row r="194" spans="1:20" ht="56.25" customHeight="1" x14ac:dyDescent="0.25">
      <c r="A194" s="981">
        <v>1</v>
      </c>
      <c r="B194" s="981">
        <v>19</v>
      </c>
      <c r="C194" s="981" t="s">
        <v>2033</v>
      </c>
      <c r="D194" s="981">
        <v>21</v>
      </c>
      <c r="E194" s="557" t="s">
        <v>1251</v>
      </c>
      <c r="F194" s="980"/>
      <c r="G194" s="563">
        <v>12</v>
      </c>
      <c r="H194" s="936">
        <v>12</v>
      </c>
      <c r="I194" s="648">
        <v>94500</v>
      </c>
      <c r="J194" s="936">
        <v>12</v>
      </c>
      <c r="K194" s="648">
        <v>100000</v>
      </c>
      <c r="L194" s="936">
        <v>12</v>
      </c>
      <c r="M194" s="648">
        <v>120000</v>
      </c>
      <c r="N194" s="936">
        <v>12</v>
      </c>
      <c r="O194" s="648">
        <v>135000</v>
      </c>
      <c r="P194" s="936">
        <v>12</v>
      </c>
      <c r="Q194" s="648">
        <v>155000</v>
      </c>
      <c r="R194" s="982">
        <v>1</v>
      </c>
      <c r="S194" s="648">
        <v>604500</v>
      </c>
      <c r="T194" s="562" t="s">
        <v>1247</v>
      </c>
    </row>
    <row r="195" spans="1:20" ht="63" customHeight="1" x14ac:dyDescent="0.25">
      <c r="A195" s="981">
        <v>1</v>
      </c>
      <c r="B195" s="981">
        <v>19</v>
      </c>
      <c r="C195" s="981" t="s">
        <v>2033</v>
      </c>
      <c r="D195" s="981">
        <v>17</v>
      </c>
      <c r="E195" s="685" t="s">
        <v>2436</v>
      </c>
      <c r="F195" s="557" t="s">
        <v>2437</v>
      </c>
      <c r="G195" s="563">
        <v>200</v>
      </c>
      <c r="H195" s="936">
        <v>100</v>
      </c>
      <c r="I195" s="648">
        <v>60000</v>
      </c>
      <c r="J195" s="936">
        <v>340</v>
      </c>
      <c r="K195" s="648">
        <v>680000</v>
      </c>
      <c r="L195" s="936">
        <v>400</v>
      </c>
      <c r="M195" s="648">
        <v>800000</v>
      </c>
      <c r="N195" s="936">
        <v>400</v>
      </c>
      <c r="O195" s="648">
        <v>800000</v>
      </c>
      <c r="P195" s="936">
        <v>100</v>
      </c>
      <c r="Q195" s="648">
        <v>300000</v>
      </c>
      <c r="R195" s="936">
        <v>1540</v>
      </c>
      <c r="S195" s="648">
        <v>2640000</v>
      </c>
      <c r="T195" s="562" t="s">
        <v>1247</v>
      </c>
    </row>
    <row r="196" spans="1:20" ht="67.5" hidden="1" customHeight="1" x14ac:dyDescent="0.25">
      <c r="A196" s="541"/>
      <c r="B196" s="541"/>
      <c r="C196" s="541"/>
      <c r="D196" s="541"/>
      <c r="E196" s="685" t="s">
        <v>2438</v>
      </c>
      <c r="F196" s="557" t="s">
        <v>2439</v>
      </c>
      <c r="G196" s="983">
        <v>0.98199999999999998</v>
      </c>
      <c r="H196" s="984">
        <v>0.995</v>
      </c>
      <c r="I196" s="985">
        <v>255398</v>
      </c>
      <c r="J196" s="580">
        <v>1</v>
      </c>
      <c r="K196" s="444">
        <v>165300</v>
      </c>
      <c r="L196" s="580">
        <v>1</v>
      </c>
      <c r="M196" s="534">
        <v>181700</v>
      </c>
      <c r="N196" s="580">
        <v>1</v>
      </c>
      <c r="O196" s="534">
        <v>199500</v>
      </c>
      <c r="P196" s="580">
        <v>1</v>
      </c>
      <c r="Q196" s="534">
        <v>219600</v>
      </c>
      <c r="R196" s="580">
        <v>1</v>
      </c>
      <c r="S196" s="986">
        <v>240800</v>
      </c>
      <c r="T196" s="987" t="s">
        <v>2440</v>
      </c>
    </row>
    <row r="197" spans="1:20" ht="41.25" hidden="1" customHeight="1" x14ac:dyDescent="0.25">
      <c r="A197" s="541"/>
      <c r="B197" s="541"/>
      <c r="C197" s="541"/>
      <c r="D197" s="541"/>
      <c r="E197" s="685" t="s">
        <v>2441</v>
      </c>
      <c r="F197" s="557" t="s">
        <v>2442</v>
      </c>
      <c r="G197" s="988" t="s">
        <v>2443</v>
      </c>
      <c r="H197" s="989">
        <v>1</v>
      </c>
      <c r="I197" s="990">
        <v>697619</v>
      </c>
      <c r="J197" s="991" t="s">
        <v>2444</v>
      </c>
      <c r="K197" s="444">
        <v>865720</v>
      </c>
      <c r="L197" s="991" t="s">
        <v>2445</v>
      </c>
      <c r="M197" s="444">
        <v>280000</v>
      </c>
      <c r="N197" s="991" t="s">
        <v>2445</v>
      </c>
      <c r="O197" s="444">
        <v>240000</v>
      </c>
      <c r="P197" s="991" t="s">
        <v>2445</v>
      </c>
      <c r="Q197" s="444">
        <v>340000</v>
      </c>
      <c r="R197" s="991" t="s">
        <v>2445</v>
      </c>
      <c r="S197" s="992">
        <v>315000</v>
      </c>
      <c r="T197" s="987" t="s">
        <v>2440</v>
      </c>
    </row>
    <row r="198" spans="1:20" ht="42.75" customHeight="1" x14ac:dyDescent="0.25">
      <c r="A198" s="981">
        <v>1</v>
      </c>
      <c r="B198" s="981">
        <v>19</v>
      </c>
      <c r="C198" s="981" t="s">
        <v>2033</v>
      </c>
      <c r="D198" s="541"/>
      <c r="E198" s="685" t="s">
        <v>2446</v>
      </c>
      <c r="F198" s="557" t="s">
        <v>2447</v>
      </c>
      <c r="G198" s="993" t="s">
        <v>2448</v>
      </c>
      <c r="H198" s="580" t="s">
        <v>2449</v>
      </c>
      <c r="I198" s="990">
        <f>61357500/1000</f>
        <v>61357.5</v>
      </c>
      <c r="J198" s="580" t="s">
        <v>2449</v>
      </c>
      <c r="K198" s="444">
        <v>68175</v>
      </c>
      <c r="L198" s="580" t="s">
        <v>2450</v>
      </c>
      <c r="M198" s="444">
        <v>74990</v>
      </c>
      <c r="N198" s="580" t="s">
        <v>2451</v>
      </c>
      <c r="O198" s="444">
        <v>82500</v>
      </c>
      <c r="P198" s="580" t="s">
        <v>2452</v>
      </c>
      <c r="Q198" s="444">
        <v>90700</v>
      </c>
      <c r="R198" s="580" t="s">
        <v>2453</v>
      </c>
      <c r="S198" s="992">
        <v>99800</v>
      </c>
      <c r="T198" s="987" t="s">
        <v>2440</v>
      </c>
    </row>
    <row r="199" spans="1:20" ht="67.5" hidden="1" customHeight="1" x14ac:dyDescent="0.25">
      <c r="A199" s="541"/>
      <c r="B199" s="541"/>
      <c r="C199" s="541"/>
      <c r="D199" s="541"/>
      <c r="E199" s="714" t="s">
        <v>966</v>
      </c>
      <c r="F199" s="557" t="s">
        <v>2454</v>
      </c>
      <c r="G199" s="562" t="s">
        <v>2455</v>
      </c>
      <c r="H199" s="580" t="s">
        <v>2455</v>
      </c>
      <c r="I199" s="444">
        <v>40000</v>
      </c>
      <c r="J199" s="982" t="s">
        <v>2456</v>
      </c>
      <c r="K199" s="994">
        <v>22500</v>
      </c>
      <c r="L199" s="580" t="s">
        <v>2457</v>
      </c>
      <c r="M199" s="994">
        <v>50000</v>
      </c>
      <c r="N199" s="580" t="s">
        <v>2458</v>
      </c>
      <c r="O199" s="994">
        <v>115000</v>
      </c>
      <c r="P199" s="580" t="s">
        <v>2458</v>
      </c>
      <c r="Q199" s="994">
        <v>135500</v>
      </c>
      <c r="R199" s="580" t="s">
        <v>2458</v>
      </c>
      <c r="S199" s="995">
        <v>1490500</v>
      </c>
      <c r="T199" s="987" t="s">
        <v>2440</v>
      </c>
    </row>
    <row r="200" spans="1:20" ht="79.5" hidden="1" customHeight="1" x14ac:dyDescent="0.25">
      <c r="A200" s="541"/>
      <c r="B200" s="541"/>
      <c r="C200" s="541"/>
      <c r="D200" s="541"/>
      <c r="E200" s="714" t="s">
        <v>2459</v>
      </c>
      <c r="F200" s="557" t="s">
        <v>2460</v>
      </c>
      <c r="G200" s="562" t="s">
        <v>2461</v>
      </c>
      <c r="H200" s="563" t="s">
        <v>2461</v>
      </c>
      <c r="I200" s="444">
        <v>10000</v>
      </c>
      <c r="J200" s="563" t="s">
        <v>2461</v>
      </c>
      <c r="K200" s="994">
        <v>100000</v>
      </c>
      <c r="L200" s="563" t="s">
        <v>2461</v>
      </c>
      <c r="M200" s="994">
        <v>31000</v>
      </c>
      <c r="N200" s="563" t="s">
        <v>2461</v>
      </c>
      <c r="O200" s="994">
        <v>34000</v>
      </c>
      <c r="P200" s="563" t="s">
        <v>2461</v>
      </c>
      <c r="Q200" s="994">
        <v>37500</v>
      </c>
      <c r="R200" s="563" t="s">
        <v>2461</v>
      </c>
      <c r="S200" s="995">
        <v>41200</v>
      </c>
      <c r="T200" s="987" t="s">
        <v>2440</v>
      </c>
    </row>
    <row r="201" spans="1:20" ht="64.5" customHeight="1" x14ac:dyDescent="0.25">
      <c r="A201" s="979">
        <v>1</v>
      </c>
      <c r="B201" s="979">
        <v>19</v>
      </c>
      <c r="C201" s="979" t="s">
        <v>2033</v>
      </c>
      <c r="D201" s="979">
        <v>15</v>
      </c>
      <c r="E201" s="714" t="s">
        <v>2462</v>
      </c>
      <c r="F201" s="557" t="s">
        <v>2463</v>
      </c>
      <c r="G201" s="927" t="s">
        <v>2464</v>
      </c>
      <c r="H201" s="989" t="s">
        <v>2464</v>
      </c>
      <c r="I201" s="444">
        <f>813484500/1000</f>
        <v>813484.5</v>
      </c>
      <c r="J201" s="989" t="s">
        <v>2464</v>
      </c>
      <c r="K201" s="994">
        <v>962310</v>
      </c>
      <c r="L201" s="989" t="s">
        <v>2465</v>
      </c>
      <c r="M201" s="994">
        <v>1752100</v>
      </c>
      <c r="N201" s="989" t="s">
        <v>2465</v>
      </c>
      <c r="O201" s="994">
        <v>1771000</v>
      </c>
      <c r="P201" s="989" t="s">
        <v>2465</v>
      </c>
      <c r="Q201" s="994">
        <v>1791000</v>
      </c>
      <c r="R201" s="989" t="s">
        <v>2466</v>
      </c>
      <c r="S201" s="995">
        <v>2064000</v>
      </c>
      <c r="T201" s="987" t="s">
        <v>2440</v>
      </c>
    </row>
    <row r="202" spans="1:20" ht="90" customHeight="1" x14ac:dyDescent="0.25">
      <c r="A202" s="979">
        <v>1</v>
      </c>
      <c r="B202" s="979">
        <v>19</v>
      </c>
      <c r="C202" s="979" t="s">
        <v>2033</v>
      </c>
      <c r="D202" s="979">
        <v>16</v>
      </c>
      <c r="E202" s="714" t="s">
        <v>2467</v>
      </c>
      <c r="F202" s="557" t="s">
        <v>2468</v>
      </c>
      <c r="G202" s="578" t="s">
        <v>2469</v>
      </c>
      <c r="H202" s="580" t="s">
        <v>2469</v>
      </c>
      <c r="I202" s="444">
        <f>44487500/1000</f>
        <v>44487.5</v>
      </c>
      <c r="J202" s="580" t="s">
        <v>2470</v>
      </c>
      <c r="K202" s="994">
        <v>100000</v>
      </c>
      <c r="L202" s="580" t="s">
        <v>2471</v>
      </c>
      <c r="M202" s="994">
        <v>111300</v>
      </c>
      <c r="N202" s="580" t="s">
        <v>2472</v>
      </c>
      <c r="O202" s="994">
        <v>134000</v>
      </c>
      <c r="P202" s="580" t="s">
        <v>2473</v>
      </c>
      <c r="Q202" s="994">
        <v>169000</v>
      </c>
      <c r="R202" s="580" t="s">
        <v>2474</v>
      </c>
      <c r="S202" s="995">
        <v>399000</v>
      </c>
      <c r="T202" s="987" t="s">
        <v>2440</v>
      </c>
    </row>
    <row r="203" spans="1:20" ht="33.75" customHeight="1" x14ac:dyDescent="0.25">
      <c r="A203" s="882" t="s">
        <v>1855</v>
      </c>
      <c r="B203" s="933"/>
      <c r="C203" s="933"/>
      <c r="D203" s="933"/>
      <c r="E203" s="934"/>
      <c r="F203" s="996"/>
      <c r="G203" s="484"/>
      <c r="H203" s="485"/>
      <c r="I203" s="485"/>
      <c r="J203" s="485"/>
      <c r="K203" s="485"/>
      <c r="L203" s="485"/>
      <c r="M203" s="485"/>
      <c r="N203" s="485"/>
      <c r="O203" s="485"/>
      <c r="P203" s="485"/>
      <c r="Q203" s="485"/>
      <c r="R203" s="485"/>
      <c r="S203" s="485"/>
      <c r="T203" s="484"/>
    </row>
    <row r="204" spans="1:20" ht="85.5" customHeight="1" x14ac:dyDescent="0.25">
      <c r="A204" s="612">
        <v>1</v>
      </c>
      <c r="B204" s="612">
        <v>20</v>
      </c>
      <c r="C204" s="612" t="s">
        <v>2033</v>
      </c>
      <c r="D204" s="612">
        <v>20</v>
      </c>
      <c r="E204" s="714" t="s">
        <v>985</v>
      </c>
      <c r="F204" s="997" t="s">
        <v>2475</v>
      </c>
      <c r="G204" s="578" t="s">
        <v>2476</v>
      </c>
      <c r="H204" s="580" t="s">
        <v>2477</v>
      </c>
      <c r="I204" s="627">
        <v>906400</v>
      </c>
      <c r="J204" s="580" t="s">
        <v>2477</v>
      </c>
      <c r="K204" s="627">
        <v>997040</v>
      </c>
      <c r="L204" s="580" t="s">
        <v>2477</v>
      </c>
      <c r="M204" s="627">
        <v>997040</v>
      </c>
      <c r="N204" s="580" t="s">
        <v>2477</v>
      </c>
      <c r="O204" s="627">
        <v>1096744</v>
      </c>
      <c r="P204" s="998" t="s">
        <v>2477</v>
      </c>
      <c r="Q204" s="627">
        <v>1096744</v>
      </c>
      <c r="R204" s="998" t="s">
        <v>2477</v>
      </c>
      <c r="S204" s="627">
        <v>1096744</v>
      </c>
      <c r="T204" s="562" t="s">
        <v>2478</v>
      </c>
    </row>
    <row r="205" spans="1:20" ht="85.5" customHeight="1" x14ac:dyDescent="0.25">
      <c r="A205" s="979">
        <v>1</v>
      </c>
      <c r="B205" s="979">
        <v>20</v>
      </c>
      <c r="C205" s="979" t="s">
        <v>2033</v>
      </c>
      <c r="D205" s="979">
        <v>16</v>
      </c>
      <c r="E205" s="714" t="s">
        <v>1002</v>
      </c>
      <c r="F205" s="997" t="s">
        <v>1001</v>
      </c>
      <c r="G205" s="578">
        <v>0.9</v>
      </c>
      <c r="H205" s="982">
        <v>0.9</v>
      </c>
      <c r="I205" s="627">
        <v>41000</v>
      </c>
      <c r="J205" s="982">
        <v>0.9</v>
      </c>
      <c r="K205" s="627">
        <v>45000</v>
      </c>
      <c r="L205" s="982">
        <v>0.9</v>
      </c>
      <c r="M205" s="627">
        <v>49600</v>
      </c>
      <c r="N205" s="982">
        <v>0.9</v>
      </c>
      <c r="O205" s="627">
        <v>545600</v>
      </c>
      <c r="P205" s="580">
        <v>0.95</v>
      </c>
      <c r="Q205" s="627">
        <v>600000</v>
      </c>
      <c r="R205" s="580">
        <v>0.95</v>
      </c>
      <c r="S205" s="627">
        <v>600000</v>
      </c>
      <c r="T205" s="562" t="s">
        <v>2478</v>
      </c>
    </row>
    <row r="206" spans="1:20" ht="64.5" customHeight="1" x14ac:dyDescent="0.25">
      <c r="A206" s="981">
        <v>1</v>
      </c>
      <c r="B206" s="981">
        <v>20</v>
      </c>
      <c r="C206" s="981" t="s">
        <v>2033</v>
      </c>
      <c r="D206" s="981">
        <v>26</v>
      </c>
      <c r="E206" s="714" t="s">
        <v>2479</v>
      </c>
      <c r="F206" s="999" t="s">
        <v>2480</v>
      </c>
      <c r="G206" s="563" t="s">
        <v>2481</v>
      </c>
      <c r="H206" s="936" t="s">
        <v>2482</v>
      </c>
      <c r="I206" s="568">
        <f>4*120000</f>
        <v>480000</v>
      </c>
      <c r="J206" s="936" t="s">
        <v>2483</v>
      </c>
      <c r="K206" s="568">
        <f>130000*4</f>
        <v>520000</v>
      </c>
      <c r="L206" s="936" t="s">
        <v>2484</v>
      </c>
      <c r="M206" s="568">
        <f>140000*4</f>
        <v>560000</v>
      </c>
      <c r="N206" s="936" t="s">
        <v>2485</v>
      </c>
      <c r="O206" s="568">
        <f>150000*4</f>
        <v>600000</v>
      </c>
      <c r="P206" s="936" t="s">
        <v>2486</v>
      </c>
      <c r="Q206" s="568">
        <f>150000*4</f>
        <v>600000</v>
      </c>
      <c r="R206" s="936" t="s">
        <v>2487</v>
      </c>
      <c r="S206" s="568">
        <f>150000*4</f>
        <v>600000</v>
      </c>
      <c r="T206" s="562" t="s">
        <v>2478</v>
      </c>
    </row>
    <row r="207" spans="1:20" ht="64.5" customHeight="1" x14ac:dyDescent="0.25">
      <c r="A207" s="981">
        <v>1</v>
      </c>
      <c r="B207" s="981">
        <v>20</v>
      </c>
      <c r="C207" s="981" t="s">
        <v>2033</v>
      </c>
      <c r="D207" s="981">
        <v>27</v>
      </c>
      <c r="E207" s="714" t="s">
        <v>2488</v>
      </c>
      <c r="F207" s="349" t="s">
        <v>2489</v>
      </c>
      <c r="G207" s="1000" t="s">
        <v>2490</v>
      </c>
      <c r="H207" s="1001">
        <v>3454060</v>
      </c>
      <c r="I207" s="1000" t="s">
        <v>2490</v>
      </c>
      <c r="J207" s="1002">
        <v>379947</v>
      </c>
      <c r="K207" s="1000" t="s">
        <v>2490</v>
      </c>
      <c r="L207" s="1000" t="s">
        <v>2490</v>
      </c>
      <c r="M207" s="419">
        <v>417941</v>
      </c>
      <c r="N207" s="1000" t="s">
        <v>2490</v>
      </c>
      <c r="O207" s="1003">
        <v>459736</v>
      </c>
      <c r="P207" s="1000" t="s">
        <v>2490</v>
      </c>
      <c r="Q207" s="1003">
        <v>505709</v>
      </c>
      <c r="R207" s="1000" t="s">
        <v>2490</v>
      </c>
      <c r="S207" s="1003">
        <v>505709</v>
      </c>
      <c r="T207" s="562" t="s">
        <v>2478</v>
      </c>
    </row>
    <row r="208" spans="1:20" ht="49.5" customHeight="1" x14ac:dyDescent="0.25">
      <c r="A208" s="981">
        <v>1</v>
      </c>
      <c r="B208" s="981">
        <v>20</v>
      </c>
      <c r="C208" s="981">
        <v>3</v>
      </c>
      <c r="D208" s="981">
        <v>32</v>
      </c>
      <c r="E208" s="714" t="s">
        <v>774</v>
      </c>
      <c r="F208" s="349" t="s">
        <v>2491</v>
      </c>
      <c r="G208" s="1000">
        <v>0.37</v>
      </c>
      <c r="H208" s="1004">
        <v>0.43</v>
      </c>
      <c r="I208" s="1003">
        <v>3350000</v>
      </c>
      <c r="J208" s="1005">
        <v>0.84</v>
      </c>
      <c r="K208" s="1003">
        <v>4705875</v>
      </c>
      <c r="L208" s="1005">
        <v>0.86</v>
      </c>
      <c r="M208" s="1003">
        <v>4799993</v>
      </c>
      <c r="N208" s="1005">
        <v>0.87</v>
      </c>
      <c r="O208" s="1003">
        <v>4847992</v>
      </c>
      <c r="P208" s="1005">
        <v>0.9</v>
      </c>
      <c r="Q208" s="1003">
        <v>4993432</v>
      </c>
      <c r="R208" s="1005">
        <v>0.9</v>
      </c>
      <c r="S208" s="1003">
        <v>4993432</v>
      </c>
      <c r="T208" s="562" t="s">
        <v>2478</v>
      </c>
    </row>
    <row r="209" spans="1:20" ht="84" customHeight="1" x14ac:dyDescent="0.25">
      <c r="A209" s="612">
        <v>1</v>
      </c>
      <c r="B209" s="612">
        <v>20</v>
      </c>
      <c r="C209" s="612" t="s">
        <v>2033</v>
      </c>
      <c r="D209" s="612">
        <v>21</v>
      </c>
      <c r="E209" s="714" t="s">
        <v>2492</v>
      </c>
      <c r="F209" s="997" t="s">
        <v>2493</v>
      </c>
      <c r="G209" s="562"/>
      <c r="H209" s="563" t="s">
        <v>2494</v>
      </c>
      <c r="I209" s="627">
        <v>150000</v>
      </c>
      <c r="J209" s="563" t="s">
        <v>2495</v>
      </c>
      <c r="K209" s="627">
        <v>200000</v>
      </c>
      <c r="L209" s="563" t="s">
        <v>2496</v>
      </c>
      <c r="M209" s="1006">
        <v>230000</v>
      </c>
      <c r="N209" s="563" t="s">
        <v>2497</v>
      </c>
      <c r="O209" s="627">
        <v>245000</v>
      </c>
      <c r="P209" s="563" t="s">
        <v>2498</v>
      </c>
      <c r="Q209" s="627">
        <v>260000</v>
      </c>
      <c r="R209" s="563" t="s">
        <v>2498</v>
      </c>
      <c r="S209" s="627">
        <v>260000</v>
      </c>
      <c r="T209" s="562" t="s">
        <v>2478</v>
      </c>
    </row>
    <row r="210" spans="1:20" ht="60" customHeight="1" x14ac:dyDescent="0.25">
      <c r="A210" s="981">
        <v>1</v>
      </c>
      <c r="B210" s="981">
        <v>20</v>
      </c>
      <c r="C210" s="981" t="s">
        <v>2033</v>
      </c>
      <c r="D210" s="981">
        <v>15</v>
      </c>
      <c r="E210" s="714" t="s">
        <v>1861</v>
      </c>
      <c r="F210" s="997" t="s">
        <v>989</v>
      </c>
      <c r="G210" s="578">
        <v>1</v>
      </c>
      <c r="H210" s="982">
        <v>1</v>
      </c>
      <c r="I210" s="627">
        <v>1406933100</v>
      </c>
      <c r="J210" s="982">
        <v>1</v>
      </c>
      <c r="K210" s="627">
        <v>1547626410</v>
      </c>
      <c r="L210" s="982">
        <v>1</v>
      </c>
      <c r="M210" s="1006">
        <v>1702389051</v>
      </c>
      <c r="N210" s="982">
        <v>1</v>
      </c>
      <c r="O210" s="627">
        <v>1872627956.0999999</v>
      </c>
      <c r="P210" s="982">
        <v>1</v>
      </c>
      <c r="Q210" s="627">
        <v>2059890751.71</v>
      </c>
      <c r="R210" s="982">
        <v>1</v>
      </c>
      <c r="S210" s="627">
        <v>2265879826.881</v>
      </c>
      <c r="T210" s="562" t="s">
        <v>2499</v>
      </c>
    </row>
    <row r="211" spans="1:20" s="788" customFormat="1" ht="57.75" customHeight="1" x14ac:dyDescent="0.25">
      <c r="A211" s="556">
        <v>20</v>
      </c>
      <c r="B211" s="556" t="s">
        <v>2500</v>
      </c>
      <c r="C211" s="556">
        <v>28</v>
      </c>
      <c r="D211" s="1007"/>
      <c r="E211" s="1008" t="s">
        <v>1040</v>
      </c>
      <c r="F211" s="1009" t="s">
        <v>2501</v>
      </c>
      <c r="G211" s="1010">
        <v>0.65</v>
      </c>
      <c r="H211" s="1011">
        <v>0.65</v>
      </c>
      <c r="I211" s="1012">
        <v>3410000</v>
      </c>
      <c r="J211" s="1013">
        <v>0.7</v>
      </c>
      <c r="K211" s="1012">
        <v>2035500</v>
      </c>
      <c r="L211" s="1013">
        <v>0.75</v>
      </c>
      <c r="M211" s="1012">
        <v>2136925</v>
      </c>
      <c r="N211" s="1013">
        <v>0.8</v>
      </c>
      <c r="O211" s="1012">
        <f>2242766250/1000</f>
        <v>2242766.25</v>
      </c>
      <c r="P211" s="1014">
        <v>0.85</v>
      </c>
      <c r="Q211" s="1012">
        <f>2357947562/1000</f>
        <v>2357947.5619999999</v>
      </c>
      <c r="R211" s="1013">
        <v>0.9</v>
      </c>
      <c r="S211" s="1012">
        <f>12183138812/1000</f>
        <v>12183138.812000001</v>
      </c>
      <c r="T211" s="912" t="s">
        <v>1031</v>
      </c>
    </row>
    <row r="212" spans="1:20" s="788" customFormat="1" ht="66" customHeight="1" x14ac:dyDescent="0.25">
      <c r="A212" s="556">
        <v>20</v>
      </c>
      <c r="B212" s="556" t="s">
        <v>2500</v>
      </c>
      <c r="C212" s="556">
        <v>29</v>
      </c>
      <c r="D212" s="1007"/>
      <c r="E212" s="1008" t="s">
        <v>964</v>
      </c>
      <c r="F212" s="1008" t="s">
        <v>2502</v>
      </c>
      <c r="G212" s="1010">
        <v>0.73</v>
      </c>
      <c r="H212" s="1011">
        <v>0.73</v>
      </c>
      <c r="I212" s="1015">
        <v>2607248</v>
      </c>
      <c r="J212" s="1013">
        <v>0.75</v>
      </c>
      <c r="K212" s="1015">
        <v>3090000</v>
      </c>
      <c r="L212" s="1013">
        <v>0.8</v>
      </c>
      <c r="M212" s="1015">
        <v>2888500</v>
      </c>
      <c r="N212" s="1013">
        <v>0.84</v>
      </c>
      <c r="O212" s="1015">
        <v>2953500</v>
      </c>
      <c r="P212" s="1013">
        <v>0.85</v>
      </c>
      <c r="Q212" s="1015">
        <v>3008500</v>
      </c>
      <c r="R212" s="1013">
        <v>0.85</v>
      </c>
      <c r="S212" s="1012">
        <f>14547748000/1000</f>
        <v>14547748</v>
      </c>
      <c r="T212" s="912" t="s">
        <v>1031</v>
      </c>
    </row>
    <row r="213" spans="1:20" s="788" customFormat="1" ht="52.5" customHeight="1" x14ac:dyDescent="0.25">
      <c r="A213" s="556">
        <v>20</v>
      </c>
      <c r="B213" s="556" t="s">
        <v>2500</v>
      </c>
      <c r="C213" s="556">
        <v>30</v>
      </c>
      <c r="D213" s="1007"/>
      <c r="E213" s="1008" t="s">
        <v>1029</v>
      </c>
      <c r="F213" s="1008" t="s">
        <v>2503</v>
      </c>
      <c r="G213" s="1011">
        <v>0.8</v>
      </c>
      <c r="H213" s="1011">
        <v>0.8</v>
      </c>
      <c r="I213" s="1015">
        <f>1804687700/1000</f>
        <v>1804687.7</v>
      </c>
      <c r="J213" s="1013">
        <v>0.84</v>
      </c>
      <c r="K213" s="1015">
        <f>3373238080/1000</f>
        <v>3373238.08</v>
      </c>
      <c r="L213" s="1013">
        <v>0.85</v>
      </c>
      <c r="M213" s="1015">
        <f>3524354888/1000</f>
        <v>3524354.8879999998</v>
      </c>
      <c r="N213" s="1013">
        <v>0.88</v>
      </c>
      <c r="O213" s="1015">
        <f>3710787876/1000</f>
        <v>3710787.8760000002</v>
      </c>
      <c r="P213" s="1013">
        <v>0.9</v>
      </c>
      <c r="Q213" s="1015">
        <f>3817764500/1000</f>
        <v>3817764.5</v>
      </c>
      <c r="R213" s="1013">
        <v>0.9</v>
      </c>
      <c r="S213" s="1012">
        <f>16145833044/1000</f>
        <v>16145833.044</v>
      </c>
      <c r="T213" s="912" t="s">
        <v>1031</v>
      </c>
    </row>
    <row r="214" spans="1:20" ht="74.25" customHeight="1" x14ac:dyDescent="0.25">
      <c r="A214" s="612">
        <v>1</v>
      </c>
      <c r="B214" s="612">
        <v>20</v>
      </c>
      <c r="C214" s="612" t="s">
        <v>2033</v>
      </c>
      <c r="D214" s="612">
        <v>20</v>
      </c>
      <c r="E214" s="714" t="s">
        <v>985</v>
      </c>
      <c r="F214" s="997" t="s">
        <v>2475</v>
      </c>
      <c r="G214" s="580" t="s">
        <v>2476</v>
      </c>
      <c r="H214" s="580" t="s">
        <v>2477</v>
      </c>
      <c r="I214" s="627">
        <v>906400</v>
      </c>
      <c r="J214" s="580" t="s">
        <v>2477</v>
      </c>
      <c r="K214" s="627">
        <v>997040</v>
      </c>
      <c r="L214" s="580" t="s">
        <v>2477</v>
      </c>
      <c r="M214" s="627">
        <v>997040</v>
      </c>
      <c r="N214" s="580" t="s">
        <v>2477</v>
      </c>
      <c r="O214" s="627">
        <v>1096744</v>
      </c>
      <c r="P214" s="998" t="s">
        <v>2477</v>
      </c>
      <c r="Q214" s="627">
        <v>1096744</v>
      </c>
      <c r="R214" s="998" t="s">
        <v>2477</v>
      </c>
      <c r="S214" s="627">
        <v>1096744</v>
      </c>
      <c r="T214" s="562" t="s">
        <v>986</v>
      </c>
    </row>
    <row r="215" spans="1:20" s="739" customFormat="1" ht="75" customHeight="1" x14ac:dyDescent="0.25">
      <c r="A215" s="612">
        <v>1</v>
      </c>
      <c r="B215" s="612">
        <v>20</v>
      </c>
      <c r="C215" s="612" t="s">
        <v>2033</v>
      </c>
      <c r="D215" s="612">
        <v>21</v>
      </c>
      <c r="E215" s="714" t="s">
        <v>2492</v>
      </c>
      <c r="F215" s="997" t="s">
        <v>2493</v>
      </c>
      <c r="G215" s="563" t="s">
        <v>2494</v>
      </c>
      <c r="H215" s="563" t="s">
        <v>2494</v>
      </c>
      <c r="I215" s="627">
        <v>150000</v>
      </c>
      <c r="J215" s="563" t="s">
        <v>2495</v>
      </c>
      <c r="K215" s="627">
        <v>200000</v>
      </c>
      <c r="L215" s="563" t="s">
        <v>2496</v>
      </c>
      <c r="M215" s="1006">
        <v>230000</v>
      </c>
      <c r="N215" s="563" t="s">
        <v>2497</v>
      </c>
      <c r="O215" s="627">
        <v>245000</v>
      </c>
      <c r="P215" s="563" t="s">
        <v>2498</v>
      </c>
      <c r="Q215" s="627">
        <v>260000</v>
      </c>
      <c r="R215" s="563" t="s">
        <v>2498</v>
      </c>
      <c r="S215" s="627">
        <v>260000</v>
      </c>
      <c r="T215" s="562" t="s">
        <v>986</v>
      </c>
    </row>
    <row r="216" spans="1:20" s="502" customFormat="1" ht="51.75" customHeight="1" x14ac:dyDescent="0.25">
      <c r="A216" s="612">
        <v>1</v>
      </c>
      <c r="B216" s="612">
        <v>20</v>
      </c>
      <c r="C216" s="947">
        <v>29</v>
      </c>
      <c r="D216" s="541"/>
      <c r="E216" s="685" t="s">
        <v>966</v>
      </c>
      <c r="F216" s="685" t="s">
        <v>2504</v>
      </c>
      <c r="G216" s="563">
        <v>0</v>
      </c>
      <c r="H216" s="1016">
        <v>4</v>
      </c>
      <c r="I216" s="1017">
        <v>20000</v>
      </c>
      <c r="J216" s="1018">
        <v>4</v>
      </c>
      <c r="K216" s="1017">
        <v>20000</v>
      </c>
      <c r="L216" s="1018">
        <v>45</v>
      </c>
      <c r="M216" s="1017">
        <v>250000</v>
      </c>
      <c r="N216" s="1018">
        <v>66</v>
      </c>
      <c r="O216" s="1017">
        <v>380000</v>
      </c>
      <c r="P216" s="1018">
        <v>76</v>
      </c>
      <c r="Q216" s="1019">
        <v>500000</v>
      </c>
      <c r="R216" s="1020">
        <v>86</v>
      </c>
      <c r="S216" s="1019">
        <v>630000</v>
      </c>
      <c r="T216" s="1021" t="s">
        <v>2505</v>
      </c>
    </row>
    <row r="217" spans="1:20" ht="39.75" customHeight="1" x14ac:dyDescent="0.25">
      <c r="A217" s="612">
        <v>1</v>
      </c>
      <c r="B217" s="612">
        <v>20</v>
      </c>
      <c r="C217" s="612" t="s">
        <v>2033</v>
      </c>
      <c r="D217" s="541"/>
      <c r="E217" s="1022" t="s">
        <v>1052</v>
      </c>
      <c r="F217" s="685" t="s">
        <v>2506</v>
      </c>
      <c r="G217" s="563">
        <v>0</v>
      </c>
      <c r="H217" s="1016">
        <v>330</v>
      </c>
      <c r="I217" s="1023">
        <v>165000</v>
      </c>
      <c r="J217" s="1018"/>
      <c r="K217" s="1017">
        <v>119800</v>
      </c>
      <c r="L217" s="1018"/>
      <c r="M217" s="1017">
        <v>268000</v>
      </c>
      <c r="N217" s="1018"/>
      <c r="O217" s="1017">
        <v>330000</v>
      </c>
      <c r="P217" s="1018"/>
      <c r="Q217" s="1024">
        <v>412000</v>
      </c>
      <c r="R217" s="563"/>
      <c r="S217" s="1024">
        <v>995000</v>
      </c>
      <c r="T217" s="1021" t="s">
        <v>2505</v>
      </c>
    </row>
    <row r="218" spans="1:20" ht="78" customHeight="1" x14ac:dyDescent="0.25">
      <c r="A218" s="555">
        <v>20</v>
      </c>
      <c r="B218" s="555" t="s">
        <v>2427</v>
      </c>
      <c r="C218" s="556">
        <v>17</v>
      </c>
      <c r="D218" s="556"/>
      <c r="E218" s="557" t="s">
        <v>848</v>
      </c>
      <c r="F218" s="557" t="s">
        <v>2507</v>
      </c>
      <c r="G218" s="562" t="s">
        <v>2508</v>
      </c>
      <c r="H218" s="563" t="s">
        <v>2509</v>
      </c>
      <c r="I218" s="1006">
        <v>21183</v>
      </c>
      <c r="J218" s="563" t="s">
        <v>2508</v>
      </c>
      <c r="K218" s="1006">
        <v>97183</v>
      </c>
      <c r="L218" s="563" t="s">
        <v>2508</v>
      </c>
      <c r="M218" s="1006">
        <v>99183</v>
      </c>
      <c r="N218" s="563" t="s">
        <v>2508</v>
      </c>
      <c r="O218" s="1006">
        <v>101183</v>
      </c>
      <c r="P218" s="563" t="s">
        <v>2508</v>
      </c>
      <c r="Q218" s="1006">
        <v>103183</v>
      </c>
      <c r="R218" s="563" t="s">
        <v>2508</v>
      </c>
      <c r="S218" s="1006">
        <v>103183</v>
      </c>
      <c r="T218" s="562" t="s">
        <v>2510</v>
      </c>
    </row>
    <row r="219" spans="1:20" ht="72.75" customHeight="1" x14ac:dyDescent="0.25">
      <c r="A219" s="556">
        <v>20</v>
      </c>
      <c r="B219" s="555" t="s">
        <v>1976</v>
      </c>
      <c r="C219" s="556">
        <v>16</v>
      </c>
      <c r="D219" s="556"/>
      <c r="E219" s="557" t="s">
        <v>2511</v>
      </c>
      <c r="F219" s="557" t="s">
        <v>2512</v>
      </c>
      <c r="G219" s="562" t="s">
        <v>772</v>
      </c>
      <c r="H219" s="563" t="s">
        <v>772</v>
      </c>
      <c r="I219" s="648">
        <v>0</v>
      </c>
      <c r="J219" s="563" t="s">
        <v>772</v>
      </c>
      <c r="K219" s="648">
        <v>15500</v>
      </c>
      <c r="L219" s="563" t="s">
        <v>772</v>
      </c>
      <c r="M219" s="648">
        <v>16500</v>
      </c>
      <c r="N219" s="563" t="s">
        <v>772</v>
      </c>
      <c r="O219" s="648">
        <v>17500</v>
      </c>
      <c r="P219" s="563" t="s">
        <v>772</v>
      </c>
      <c r="Q219" s="648">
        <v>18500</v>
      </c>
      <c r="R219" s="563" t="s">
        <v>772</v>
      </c>
      <c r="S219" s="648">
        <v>18500</v>
      </c>
      <c r="T219" s="562" t="s">
        <v>2510</v>
      </c>
    </row>
    <row r="220" spans="1:20" ht="70.5" customHeight="1" x14ac:dyDescent="0.25">
      <c r="A220" s="556">
        <v>20</v>
      </c>
      <c r="B220" s="556">
        <v>9</v>
      </c>
      <c r="C220" s="556">
        <v>17</v>
      </c>
      <c r="D220" s="556"/>
      <c r="E220" s="557" t="s">
        <v>848</v>
      </c>
      <c r="F220" s="557" t="s">
        <v>2507</v>
      </c>
      <c r="G220" s="562" t="s">
        <v>2513</v>
      </c>
      <c r="H220" s="563" t="s">
        <v>2513</v>
      </c>
      <c r="I220" s="1025" t="s">
        <v>2514</v>
      </c>
      <c r="J220" s="563" t="s">
        <v>2513</v>
      </c>
      <c r="K220" s="1006">
        <v>65000</v>
      </c>
      <c r="L220" s="563" t="s">
        <v>2513</v>
      </c>
      <c r="M220" s="1006">
        <v>65000</v>
      </c>
      <c r="N220" s="563" t="s">
        <v>2513</v>
      </c>
      <c r="O220" s="1006">
        <v>65000</v>
      </c>
      <c r="P220" s="563" t="s">
        <v>2513</v>
      </c>
      <c r="Q220" s="1006">
        <v>65000</v>
      </c>
      <c r="R220" s="563" t="s">
        <v>2513</v>
      </c>
      <c r="S220" s="1006">
        <v>65000</v>
      </c>
      <c r="T220" s="562" t="s">
        <v>2515</v>
      </c>
    </row>
    <row r="221" spans="1:20" ht="71.25" customHeight="1" x14ac:dyDescent="0.25">
      <c r="A221" s="556">
        <v>20</v>
      </c>
      <c r="B221" s="555" t="s">
        <v>2427</v>
      </c>
      <c r="C221" s="556">
        <v>16</v>
      </c>
      <c r="D221" s="556"/>
      <c r="E221" s="557" t="s">
        <v>2511</v>
      </c>
      <c r="F221" s="557" t="s">
        <v>2512</v>
      </c>
      <c r="G221" s="562" t="s">
        <v>1165</v>
      </c>
      <c r="H221" s="563" t="s">
        <v>1166</v>
      </c>
      <c r="I221" s="1026">
        <v>27720</v>
      </c>
      <c r="J221" s="563" t="s">
        <v>1166</v>
      </c>
      <c r="K221" s="648">
        <v>27720</v>
      </c>
      <c r="L221" s="563" t="s">
        <v>1166</v>
      </c>
      <c r="M221" s="648">
        <v>27720</v>
      </c>
      <c r="N221" s="563" t="s">
        <v>1166</v>
      </c>
      <c r="O221" s="648">
        <v>27720</v>
      </c>
      <c r="P221" s="563" t="s">
        <v>1166</v>
      </c>
      <c r="Q221" s="648">
        <v>27720</v>
      </c>
      <c r="R221" s="563" t="s">
        <v>1166</v>
      </c>
      <c r="S221" s="648">
        <v>27720</v>
      </c>
      <c r="T221" s="562" t="s">
        <v>2515</v>
      </c>
    </row>
    <row r="222" spans="1:20" ht="72.75" customHeight="1" x14ac:dyDescent="0.25">
      <c r="A222" s="555">
        <v>20</v>
      </c>
      <c r="B222" s="555">
        <v>13</v>
      </c>
      <c r="C222" s="556">
        <v>17</v>
      </c>
      <c r="D222" s="556"/>
      <c r="E222" s="557" t="s">
        <v>848</v>
      </c>
      <c r="F222" s="557" t="s">
        <v>2507</v>
      </c>
      <c r="G222" s="562" t="s">
        <v>2516</v>
      </c>
      <c r="H222" s="563" t="s">
        <v>2517</v>
      </c>
      <c r="I222" s="1006">
        <v>10500</v>
      </c>
      <c r="J222" s="563" t="s">
        <v>2517</v>
      </c>
      <c r="K222" s="1006">
        <v>11000</v>
      </c>
      <c r="L222" s="563" t="s">
        <v>2517</v>
      </c>
      <c r="M222" s="1006">
        <v>12000</v>
      </c>
      <c r="N222" s="563" t="s">
        <v>2517</v>
      </c>
      <c r="O222" s="1006">
        <v>13000</v>
      </c>
      <c r="P222" s="563" t="s">
        <v>2517</v>
      </c>
      <c r="Q222" s="1006">
        <v>12000</v>
      </c>
      <c r="R222" s="563" t="s">
        <v>2517</v>
      </c>
      <c r="S222" s="1006">
        <v>12000</v>
      </c>
      <c r="T222" s="562" t="s">
        <v>1169</v>
      </c>
    </row>
    <row r="223" spans="1:20" ht="74.25" customHeight="1" x14ac:dyDescent="0.25">
      <c r="A223" s="555">
        <v>20</v>
      </c>
      <c r="B223" s="555">
        <v>13</v>
      </c>
      <c r="C223" s="556">
        <v>16</v>
      </c>
      <c r="D223" s="556"/>
      <c r="E223" s="557" t="s">
        <v>2511</v>
      </c>
      <c r="F223" s="557" t="s">
        <v>2512</v>
      </c>
      <c r="G223" s="1027" t="s">
        <v>2518</v>
      </c>
      <c r="H223" s="1027" t="s">
        <v>2518</v>
      </c>
      <c r="I223" s="648">
        <f>10239700/1000</f>
        <v>10239.700000000001</v>
      </c>
      <c r="J223" s="1027" t="s">
        <v>2518</v>
      </c>
      <c r="K223" s="648">
        <v>12000</v>
      </c>
      <c r="L223" s="1027" t="s">
        <v>2518</v>
      </c>
      <c r="M223" s="648">
        <v>33000</v>
      </c>
      <c r="N223" s="1027" t="s">
        <v>2518</v>
      </c>
      <c r="O223" s="648">
        <v>38000</v>
      </c>
      <c r="P223" s="1027" t="s">
        <v>2518</v>
      </c>
      <c r="Q223" s="648">
        <v>46000</v>
      </c>
      <c r="R223" s="1027" t="s">
        <v>2518</v>
      </c>
      <c r="S223" s="648">
        <v>46000</v>
      </c>
      <c r="T223" s="562" t="s">
        <v>1169</v>
      </c>
    </row>
    <row r="224" spans="1:20" ht="71.25" customHeight="1" x14ac:dyDescent="0.25">
      <c r="A224" s="555">
        <v>20</v>
      </c>
      <c r="B224" s="555">
        <v>11</v>
      </c>
      <c r="C224" s="556">
        <v>17</v>
      </c>
      <c r="D224" s="556"/>
      <c r="E224" s="557" t="s">
        <v>848</v>
      </c>
      <c r="F224" s="557" t="s">
        <v>2519</v>
      </c>
      <c r="G224" s="578" t="s">
        <v>2520</v>
      </c>
      <c r="H224" s="563" t="s">
        <v>2521</v>
      </c>
      <c r="I224" s="1006">
        <v>26988000</v>
      </c>
      <c r="J224" s="563" t="s">
        <v>2521</v>
      </c>
      <c r="K224" s="1006">
        <v>29686800</v>
      </c>
      <c r="L224" s="563" t="s">
        <v>2521</v>
      </c>
      <c r="M224" s="1006">
        <v>32358612</v>
      </c>
      <c r="N224" s="563" t="s">
        <v>2521</v>
      </c>
      <c r="O224" s="1006">
        <v>35594473</v>
      </c>
      <c r="P224" s="563" t="s">
        <v>2521</v>
      </c>
      <c r="Q224" s="1006"/>
      <c r="R224" s="563" t="s">
        <v>2521</v>
      </c>
      <c r="S224" s="1006"/>
      <c r="T224" s="562" t="s">
        <v>1171</v>
      </c>
    </row>
    <row r="225" spans="1:20" ht="71.25" customHeight="1" x14ac:dyDescent="0.25">
      <c r="A225" s="555">
        <v>20</v>
      </c>
      <c r="B225" s="555">
        <v>11</v>
      </c>
      <c r="C225" s="556">
        <v>16</v>
      </c>
      <c r="D225" s="556"/>
      <c r="E225" s="557" t="s">
        <v>2511</v>
      </c>
      <c r="F225" s="557" t="s">
        <v>2512</v>
      </c>
      <c r="G225" s="562" t="s">
        <v>2522</v>
      </c>
      <c r="H225" s="1027" t="s">
        <v>2522</v>
      </c>
      <c r="I225" s="1028">
        <v>21180</v>
      </c>
      <c r="J225" s="1027" t="s">
        <v>2522</v>
      </c>
      <c r="K225" s="648">
        <v>23298</v>
      </c>
      <c r="L225" s="1027" t="s">
        <v>2522</v>
      </c>
      <c r="M225" s="648">
        <f>25394820/1000</f>
        <v>25394.82</v>
      </c>
      <c r="N225" s="1027" t="s">
        <v>2522</v>
      </c>
      <c r="O225" s="648">
        <f>27934302/1000</f>
        <v>27934.302</v>
      </c>
      <c r="P225" s="1027" t="s">
        <v>2522</v>
      </c>
      <c r="Q225" s="648">
        <f>33521162/1000</f>
        <v>33521.161999999997</v>
      </c>
      <c r="R225" s="1027" t="s">
        <v>2522</v>
      </c>
      <c r="S225" s="648">
        <f>33521162/1000</f>
        <v>33521.161999999997</v>
      </c>
      <c r="T225" s="562" t="s">
        <v>1171</v>
      </c>
    </row>
    <row r="226" spans="1:20" ht="71.25" customHeight="1" x14ac:dyDescent="0.25">
      <c r="A226" s="555">
        <v>20</v>
      </c>
      <c r="B226" s="555" t="s">
        <v>2427</v>
      </c>
      <c r="C226" s="556">
        <v>17</v>
      </c>
      <c r="D226" s="556"/>
      <c r="E226" s="557" t="s">
        <v>848</v>
      </c>
      <c r="F226" s="557" t="s">
        <v>2519</v>
      </c>
      <c r="G226" s="578" t="s">
        <v>2523</v>
      </c>
      <c r="H226" s="563" t="s">
        <v>2524</v>
      </c>
      <c r="I226" s="1006">
        <f>20008000/1000</f>
        <v>20008</v>
      </c>
      <c r="J226" s="563" t="s">
        <v>2524</v>
      </c>
      <c r="K226" s="1006">
        <v>42000</v>
      </c>
      <c r="L226" s="563" t="s">
        <v>2524</v>
      </c>
      <c r="M226" s="1006">
        <v>42000</v>
      </c>
      <c r="N226" s="563" t="s">
        <v>2524</v>
      </c>
      <c r="O226" s="1006">
        <v>44000</v>
      </c>
      <c r="P226" s="563" t="s">
        <v>2524</v>
      </c>
      <c r="Q226" s="1006">
        <v>46000</v>
      </c>
      <c r="R226" s="563" t="s">
        <v>2524</v>
      </c>
      <c r="S226" s="1006">
        <v>46000</v>
      </c>
      <c r="T226" s="562" t="s">
        <v>1173</v>
      </c>
    </row>
    <row r="227" spans="1:20" ht="72" customHeight="1" x14ac:dyDescent="0.25">
      <c r="A227" s="555">
        <v>20</v>
      </c>
      <c r="B227" s="555" t="s">
        <v>2427</v>
      </c>
      <c r="C227" s="556">
        <v>16</v>
      </c>
      <c r="D227" s="556"/>
      <c r="E227" s="557" t="s">
        <v>2511</v>
      </c>
      <c r="F227" s="557" t="s">
        <v>2512</v>
      </c>
      <c r="G227" s="562"/>
      <c r="H227" s="1027" t="s">
        <v>2525</v>
      </c>
      <c r="I227" s="648">
        <v>30000</v>
      </c>
      <c r="J227" s="1027" t="s">
        <v>2525</v>
      </c>
      <c r="K227" s="648">
        <v>28000</v>
      </c>
      <c r="L227" s="1027" t="s">
        <v>2525</v>
      </c>
      <c r="M227" s="648">
        <v>30000</v>
      </c>
      <c r="N227" s="1027" t="s">
        <v>2525</v>
      </c>
      <c r="O227" s="648">
        <v>32000</v>
      </c>
      <c r="P227" s="1027" t="s">
        <v>2525</v>
      </c>
      <c r="Q227" s="648">
        <v>35000</v>
      </c>
      <c r="R227" s="1027" t="s">
        <v>2525</v>
      </c>
      <c r="S227" s="648">
        <v>35000</v>
      </c>
      <c r="T227" s="562" t="s">
        <v>1173</v>
      </c>
    </row>
    <row r="228" spans="1:20" s="1029" customFormat="1" ht="71.25" customHeight="1" x14ac:dyDescent="0.25">
      <c r="A228" s="555">
        <v>20</v>
      </c>
      <c r="B228" s="555">
        <v>13</v>
      </c>
      <c r="C228" s="556">
        <v>17</v>
      </c>
      <c r="D228" s="556"/>
      <c r="E228" s="557" t="s">
        <v>848</v>
      </c>
      <c r="F228" s="557" t="s">
        <v>2519</v>
      </c>
      <c r="G228" s="562" t="s">
        <v>2526</v>
      </c>
      <c r="H228" s="563" t="s">
        <v>2527</v>
      </c>
      <c r="I228" s="1006">
        <v>14265</v>
      </c>
      <c r="J228" s="563" t="s">
        <v>2527</v>
      </c>
      <c r="K228" s="1006">
        <v>15000</v>
      </c>
      <c r="L228" s="563" t="s">
        <v>2527</v>
      </c>
      <c r="M228" s="1006">
        <v>35000</v>
      </c>
      <c r="N228" s="563" t="s">
        <v>2527</v>
      </c>
      <c r="O228" s="1006">
        <v>40000</v>
      </c>
      <c r="P228" s="563" t="s">
        <v>2527</v>
      </c>
      <c r="Q228" s="1006">
        <v>47000</v>
      </c>
      <c r="R228" s="563" t="s">
        <v>2527</v>
      </c>
      <c r="S228" s="1006">
        <v>47000</v>
      </c>
      <c r="T228" s="562" t="s">
        <v>1175</v>
      </c>
    </row>
    <row r="229" spans="1:20" s="886" customFormat="1" ht="74.25" customHeight="1" x14ac:dyDescent="0.25">
      <c r="A229" s="555">
        <v>20</v>
      </c>
      <c r="B229" s="555">
        <v>13</v>
      </c>
      <c r="C229" s="556">
        <v>16</v>
      </c>
      <c r="D229" s="556"/>
      <c r="E229" s="557" t="s">
        <v>2511</v>
      </c>
      <c r="F229" s="557" t="s">
        <v>2512</v>
      </c>
      <c r="G229" s="562"/>
      <c r="H229" s="563" t="s">
        <v>1174</v>
      </c>
      <c r="I229" s="648">
        <v>21440</v>
      </c>
      <c r="J229" s="563" t="s">
        <v>1174</v>
      </c>
      <c r="K229" s="648">
        <v>21440</v>
      </c>
      <c r="L229" s="563" t="s">
        <v>1174</v>
      </c>
      <c r="M229" s="648">
        <v>24000</v>
      </c>
      <c r="N229" s="563" t="s">
        <v>1174</v>
      </c>
      <c r="O229" s="648">
        <v>24000</v>
      </c>
      <c r="P229" s="563" t="s">
        <v>1174</v>
      </c>
      <c r="Q229" s="648">
        <v>25000</v>
      </c>
      <c r="R229" s="563" t="s">
        <v>1174</v>
      </c>
      <c r="S229" s="648">
        <v>25000</v>
      </c>
      <c r="T229" s="562" t="s">
        <v>1175</v>
      </c>
    </row>
    <row r="230" spans="1:20" s="886" customFormat="1" ht="67.5" customHeight="1" x14ac:dyDescent="0.25">
      <c r="A230" s="555">
        <v>20</v>
      </c>
      <c r="B230" s="555">
        <v>13</v>
      </c>
      <c r="C230" s="556">
        <v>17</v>
      </c>
      <c r="D230" s="541"/>
      <c r="E230" s="557" t="s">
        <v>848</v>
      </c>
      <c r="F230" s="557" t="s">
        <v>2507</v>
      </c>
      <c r="G230" s="562" t="s">
        <v>2528</v>
      </c>
      <c r="H230" s="563" t="s">
        <v>2528</v>
      </c>
      <c r="I230" s="1030">
        <v>0</v>
      </c>
      <c r="J230" s="563" t="s">
        <v>2528</v>
      </c>
      <c r="K230" s="1006">
        <v>100000</v>
      </c>
      <c r="L230" s="563" t="s">
        <v>2528</v>
      </c>
      <c r="M230" s="1006">
        <v>100000</v>
      </c>
      <c r="N230" s="563" t="s">
        <v>2528</v>
      </c>
      <c r="O230" s="1006">
        <v>100000</v>
      </c>
      <c r="P230" s="563" t="s">
        <v>2528</v>
      </c>
      <c r="Q230" s="1006">
        <v>100000</v>
      </c>
      <c r="R230" s="563" t="s">
        <v>2528</v>
      </c>
      <c r="S230" s="1006">
        <v>100000</v>
      </c>
      <c r="T230" s="562" t="s">
        <v>2529</v>
      </c>
    </row>
    <row r="231" spans="1:20" s="886" customFormat="1" ht="74.25" customHeight="1" x14ac:dyDescent="0.25">
      <c r="A231" s="555">
        <v>20</v>
      </c>
      <c r="B231" s="555">
        <v>13</v>
      </c>
      <c r="C231" s="556">
        <v>16</v>
      </c>
      <c r="D231" s="541"/>
      <c r="E231" s="557" t="s">
        <v>2511</v>
      </c>
      <c r="F231" s="557" t="s">
        <v>2512</v>
      </c>
      <c r="G231" s="562" t="s">
        <v>772</v>
      </c>
      <c r="H231" s="563" t="s">
        <v>772</v>
      </c>
      <c r="I231" s="648">
        <v>40459</v>
      </c>
      <c r="J231" s="563" t="s">
        <v>772</v>
      </c>
      <c r="K231" s="648">
        <v>42500</v>
      </c>
      <c r="L231" s="563" t="s">
        <v>772</v>
      </c>
      <c r="M231" s="648">
        <v>44000</v>
      </c>
      <c r="N231" s="563" t="s">
        <v>772</v>
      </c>
      <c r="O231" s="648">
        <v>46000</v>
      </c>
      <c r="P231" s="563" t="s">
        <v>772</v>
      </c>
      <c r="Q231" s="648">
        <v>47000</v>
      </c>
      <c r="R231" s="563" t="s">
        <v>772</v>
      </c>
      <c r="S231" s="648">
        <v>47000</v>
      </c>
      <c r="T231" s="562" t="s">
        <v>2529</v>
      </c>
    </row>
    <row r="232" spans="1:20" s="886" customFormat="1" ht="72" customHeight="1" x14ac:dyDescent="0.25">
      <c r="A232" s="555">
        <v>20</v>
      </c>
      <c r="B232" s="555" t="s">
        <v>2178</v>
      </c>
      <c r="C232" s="556">
        <v>17</v>
      </c>
      <c r="D232" s="556"/>
      <c r="E232" s="557" t="s">
        <v>848</v>
      </c>
      <c r="F232" s="557" t="s">
        <v>2519</v>
      </c>
      <c r="G232" s="562" t="s">
        <v>2530</v>
      </c>
      <c r="H232" s="563" t="s">
        <v>2530</v>
      </c>
      <c r="I232" s="1031">
        <f>23037750/1000</f>
        <v>23037.75</v>
      </c>
      <c r="J232" s="563" t="s">
        <v>2530</v>
      </c>
      <c r="K232" s="1032">
        <f>45000000/1000</f>
        <v>45000</v>
      </c>
      <c r="L232" s="563" t="s">
        <v>2530</v>
      </c>
      <c r="M232" s="1032">
        <v>50000</v>
      </c>
      <c r="N232" s="563" t="s">
        <v>2530</v>
      </c>
      <c r="O232" s="1032">
        <v>50000</v>
      </c>
      <c r="P232" s="563" t="s">
        <v>2530</v>
      </c>
      <c r="Q232" s="1032">
        <v>50000</v>
      </c>
      <c r="R232" s="563" t="s">
        <v>2530</v>
      </c>
      <c r="S232" s="1032">
        <v>50000</v>
      </c>
      <c r="T232" s="562" t="s">
        <v>2531</v>
      </c>
    </row>
    <row r="233" spans="1:20" s="886" customFormat="1" ht="75" customHeight="1" x14ac:dyDescent="0.25">
      <c r="A233" s="555">
        <v>20</v>
      </c>
      <c r="B233" s="555" t="s">
        <v>2178</v>
      </c>
      <c r="C233" s="556">
        <v>16</v>
      </c>
      <c r="D233" s="556"/>
      <c r="E233" s="557" t="s">
        <v>2511</v>
      </c>
      <c r="F233" s="557" t="s">
        <v>2512</v>
      </c>
      <c r="G233" s="562" t="s">
        <v>1051</v>
      </c>
      <c r="H233" s="936" t="s">
        <v>1051</v>
      </c>
      <c r="I233" s="1031">
        <v>33588</v>
      </c>
      <c r="J233" s="936" t="s">
        <v>1051</v>
      </c>
      <c r="K233" s="1033">
        <f>36946800/1000</f>
        <v>36946.800000000003</v>
      </c>
      <c r="L233" s="936" t="s">
        <v>1051</v>
      </c>
      <c r="M233" s="1033">
        <f>40272012/1000</f>
        <v>40272.012000000002</v>
      </c>
      <c r="N233" s="936" t="s">
        <v>1051</v>
      </c>
      <c r="O233" s="1034">
        <f>44299213/1000</f>
        <v>44299.213000000003</v>
      </c>
      <c r="P233" s="936" t="s">
        <v>1051</v>
      </c>
      <c r="Q233" s="1034">
        <f>53159056/1000</f>
        <v>53159.055999999997</v>
      </c>
      <c r="R233" s="936" t="s">
        <v>1051</v>
      </c>
      <c r="S233" s="1034">
        <f>53159056/1000</f>
        <v>53159.055999999997</v>
      </c>
      <c r="T233" s="562" t="s">
        <v>2531</v>
      </c>
    </row>
    <row r="234" spans="1:20" s="886" customFormat="1" ht="66.75" customHeight="1" x14ac:dyDescent="0.25">
      <c r="A234" s="555">
        <v>20</v>
      </c>
      <c r="B234" s="555" t="s">
        <v>2182</v>
      </c>
      <c r="C234" s="556">
        <v>17</v>
      </c>
      <c r="D234" s="556"/>
      <c r="E234" s="557" t="s">
        <v>848</v>
      </c>
      <c r="F234" s="557" t="s">
        <v>2519</v>
      </c>
      <c r="G234" s="562" t="s">
        <v>2532</v>
      </c>
      <c r="H234" s="563" t="s">
        <v>2532</v>
      </c>
      <c r="I234" s="1006">
        <f>18996750/1000</f>
        <v>18996.75</v>
      </c>
      <c r="J234" s="563" t="s">
        <v>2532</v>
      </c>
      <c r="K234" s="1006">
        <v>50000</v>
      </c>
      <c r="L234" s="563" t="s">
        <v>2532</v>
      </c>
      <c r="M234" s="1006">
        <v>51000</v>
      </c>
      <c r="N234" s="563" t="s">
        <v>2532</v>
      </c>
      <c r="O234" s="1006">
        <v>53000</v>
      </c>
      <c r="P234" s="563" t="s">
        <v>2532</v>
      </c>
      <c r="Q234" s="1006">
        <v>53000</v>
      </c>
      <c r="R234" s="563" t="s">
        <v>2532</v>
      </c>
      <c r="S234" s="1006">
        <v>53000</v>
      </c>
      <c r="T234" s="562" t="s">
        <v>2533</v>
      </c>
    </row>
    <row r="235" spans="1:20" s="886" customFormat="1" ht="72.75" customHeight="1" x14ac:dyDescent="0.25">
      <c r="A235" s="555">
        <v>20</v>
      </c>
      <c r="B235" s="555" t="s">
        <v>2182</v>
      </c>
      <c r="C235" s="556">
        <v>16</v>
      </c>
      <c r="D235" s="556"/>
      <c r="E235" s="557" t="s">
        <v>2511</v>
      </c>
      <c r="F235" s="557" t="s">
        <v>2512</v>
      </c>
      <c r="G235" s="1035" t="s">
        <v>1181</v>
      </c>
      <c r="H235" s="1027" t="s">
        <v>1181</v>
      </c>
      <c r="I235" s="648">
        <f>19146400/1000</f>
        <v>19146.400000000001</v>
      </c>
      <c r="J235" s="1027" t="s">
        <v>1181</v>
      </c>
      <c r="K235" s="648">
        <v>20000</v>
      </c>
      <c r="L235" s="1027" t="s">
        <v>1181</v>
      </c>
      <c r="M235" s="648">
        <v>24000</v>
      </c>
      <c r="N235" s="1027" t="s">
        <v>1181</v>
      </c>
      <c r="O235" s="648">
        <v>24000</v>
      </c>
      <c r="P235" s="1027" t="s">
        <v>1181</v>
      </c>
      <c r="Q235" s="648">
        <v>25000</v>
      </c>
      <c r="R235" s="1027" t="s">
        <v>1181</v>
      </c>
      <c r="S235" s="648">
        <v>25000</v>
      </c>
      <c r="T235" s="562" t="s">
        <v>2533</v>
      </c>
    </row>
    <row r="236" spans="1:20" ht="66.75" customHeight="1" x14ac:dyDescent="0.25">
      <c r="A236" s="541"/>
      <c r="B236" s="541"/>
      <c r="C236" s="541"/>
      <c r="D236" s="541"/>
      <c r="E236" s="557" t="s">
        <v>848</v>
      </c>
      <c r="F236" s="557" t="s">
        <v>2507</v>
      </c>
      <c r="G236" s="562" t="s">
        <v>2532</v>
      </c>
      <c r="H236" s="563" t="s">
        <v>2532</v>
      </c>
      <c r="I236" s="1036">
        <v>25000</v>
      </c>
      <c r="J236" s="563" t="s">
        <v>2532</v>
      </c>
      <c r="K236" s="1006">
        <v>30000</v>
      </c>
      <c r="L236" s="563" t="s">
        <v>2532</v>
      </c>
      <c r="M236" s="1036">
        <v>40000</v>
      </c>
      <c r="N236" s="563" t="s">
        <v>2532</v>
      </c>
      <c r="O236" s="1036">
        <v>50000</v>
      </c>
      <c r="P236" s="563" t="s">
        <v>2532</v>
      </c>
      <c r="Q236" s="1036">
        <v>60000</v>
      </c>
      <c r="R236" s="563" t="s">
        <v>2532</v>
      </c>
      <c r="S236" s="1036">
        <v>60000</v>
      </c>
      <c r="T236" s="562" t="s">
        <v>1182</v>
      </c>
    </row>
    <row r="237" spans="1:20" ht="73.5" customHeight="1" x14ac:dyDescent="0.25">
      <c r="A237" s="541"/>
      <c r="B237" s="541"/>
      <c r="C237" s="541"/>
      <c r="D237" s="541"/>
      <c r="E237" s="557" t="s">
        <v>2511</v>
      </c>
      <c r="F237" s="557" t="s">
        <v>2512</v>
      </c>
      <c r="G237" s="562" t="s">
        <v>1181</v>
      </c>
      <c r="H237" s="563" t="s">
        <v>1181</v>
      </c>
      <c r="I237" s="648">
        <v>24875</v>
      </c>
      <c r="J237" s="563" t="s">
        <v>1181</v>
      </c>
      <c r="K237" s="648">
        <v>25000</v>
      </c>
      <c r="L237" s="563" t="s">
        <v>1181</v>
      </c>
      <c r="M237" s="648">
        <v>30000</v>
      </c>
      <c r="N237" s="563" t="s">
        <v>1181</v>
      </c>
      <c r="O237" s="648">
        <v>35000</v>
      </c>
      <c r="P237" s="563" t="s">
        <v>1181</v>
      </c>
      <c r="Q237" s="648">
        <v>40000</v>
      </c>
      <c r="R237" s="563" t="s">
        <v>1181</v>
      </c>
      <c r="S237" s="648">
        <v>40000</v>
      </c>
      <c r="T237" s="562" t="s">
        <v>1182</v>
      </c>
    </row>
    <row r="238" spans="1:20" ht="33.75" customHeight="1" x14ac:dyDescent="0.25">
      <c r="A238" s="882" t="s">
        <v>2534</v>
      </c>
      <c r="B238" s="933"/>
      <c r="C238" s="933"/>
      <c r="D238" s="933"/>
      <c r="E238" s="934"/>
      <c r="F238" s="996"/>
      <c r="G238" s="484"/>
      <c r="H238" s="485"/>
      <c r="I238" s="485"/>
      <c r="J238" s="485"/>
      <c r="K238" s="485"/>
      <c r="L238" s="485"/>
      <c r="M238" s="485"/>
      <c r="N238" s="485"/>
      <c r="O238" s="485"/>
      <c r="P238" s="485"/>
      <c r="Q238" s="485"/>
      <c r="R238" s="485"/>
      <c r="S238" s="485"/>
      <c r="T238" s="484"/>
    </row>
    <row r="239" spans="1:20" s="1043" customFormat="1" ht="59.25" customHeight="1" x14ac:dyDescent="0.2">
      <c r="A239" s="599" t="s">
        <v>1915</v>
      </c>
      <c r="B239" s="599" t="s">
        <v>1920</v>
      </c>
      <c r="C239" s="600">
        <v>21</v>
      </c>
      <c r="D239" s="601"/>
      <c r="E239" s="1037" t="s">
        <v>894</v>
      </c>
      <c r="F239" s="1038" t="s">
        <v>2535</v>
      </c>
      <c r="G239" s="1039" t="s">
        <v>2536</v>
      </c>
      <c r="H239" s="1040" t="s">
        <v>2420</v>
      </c>
      <c r="I239" s="607">
        <f>1192486500/1000</f>
        <v>1192486.5</v>
      </c>
      <c r="J239" s="1041" t="s">
        <v>2420</v>
      </c>
      <c r="K239" s="607">
        <f>1602500000/1000</f>
        <v>1602500</v>
      </c>
      <c r="L239" s="1041" t="s">
        <v>2537</v>
      </c>
      <c r="M239" s="1042">
        <v>1812750</v>
      </c>
      <c r="N239" s="1041" t="s">
        <v>2537</v>
      </c>
      <c r="O239" s="1042">
        <f>1649765500/1000</f>
        <v>1649765.5</v>
      </c>
      <c r="P239" s="1041" t="s">
        <v>2538</v>
      </c>
      <c r="Q239" s="1042">
        <f>3786368000/1000</f>
        <v>3786368</v>
      </c>
      <c r="R239" s="1041" t="s">
        <v>2539</v>
      </c>
      <c r="S239" s="607">
        <f t="shared" ref="S239:S245" si="0">Q239+O239+M239+K239+I239</f>
        <v>10043870</v>
      </c>
      <c r="T239" s="1039" t="s">
        <v>2087</v>
      </c>
    </row>
    <row r="240" spans="1:20" s="1043" customFormat="1" ht="59.25" customHeight="1" x14ac:dyDescent="0.2">
      <c r="A240" s="599" t="s">
        <v>1915</v>
      </c>
      <c r="B240" s="599" t="s">
        <v>1920</v>
      </c>
      <c r="C240" s="600">
        <v>24</v>
      </c>
      <c r="D240" s="601"/>
      <c r="E240" s="1044" t="s">
        <v>902</v>
      </c>
      <c r="F240" s="603" t="s">
        <v>2540</v>
      </c>
      <c r="G240" s="608" t="s">
        <v>893</v>
      </c>
      <c r="H240" s="605" t="s">
        <v>217</v>
      </c>
      <c r="I240" s="605" t="s">
        <v>217</v>
      </c>
      <c r="J240" s="605" t="s">
        <v>217</v>
      </c>
      <c r="K240" s="605" t="s">
        <v>217</v>
      </c>
      <c r="L240" s="605" t="s">
        <v>217</v>
      </c>
      <c r="M240" s="605" t="s">
        <v>217</v>
      </c>
      <c r="N240" s="1045" t="s">
        <v>893</v>
      </c>
      <c r="O240" s="607">
        <v>600000</v>
      </c>
      <c r="P240" s="605" t="s">
        <v>217</v>
      </c>
      <c r="Q240" s="605" t="s">
        <v>217</v>
      </c>
      <c r="R240" s="605" t="s">
        <v>217</v>
      </c>
      <c r="S240" s="607">
        <v>600000</v>
      </c>
      <c r="T240" s="608" t="s">
        <v>2087</v>
      </c>
    </row>
    <row r="241" spans="1:20" s="1043" customFormat="1" ht="59.25" customHeight="1" x14ac:dyDescent="0.2">
      <c r="A241" s="599" t="s">
        <v>1915</v>
      </c>
      <c r="B241" s="599" t="s">
        <v>1920</v>
      </c>
      <c r="C241" s="600">
        <v>18</v>
      </c>
      <c r="D241" s="601"/>
      <c r="E241" s="1044" t="s">
        <v>904</v>
      </c>
      <c r="F241" s="603" t="s">
        <v>2541</v>
      </c>
      <c r="G241" s="608" t="s">
        <v>898</v>
      </c>
      <c r="H241" s="605" t="s">
        <v>217</v>
      </c>
      <c r="I241" s="605" t="s">
        <v>217</v>
      </c>
      <c r="J241" s="1046" t="s">
        <v>2542</v>
      </c>
      <c r="K241" s="1047">
        <v>600000</v>
      </c>
      <c r="L241" s="605" t="s">
        <v>217</v>
      </c>
      <c r="M241" s="605" t="s">
        <v>217</v>
      </c>
      <c r="N241" s="605" t="s">
        <v>217</v>
      </c>
      <c r="O241" s="605" t="s">
        <v>217</v>
      </c>
      <c r="P241" s="605" t="s">
        <v>217</v>
      </c>
      <c r="Q241" s="605" t="s">
        <v>217</v>
      </c>
      <c r="R241" s="605" t="s">
        <v>217</v>
      </c>
      <c r="S241" s="607">
        <v>600000</v>
      </c>
      <c r="T241" s="608" t="s">
        <v>2087</v>
      </c>
    </row>
    <row r="242" spans="1:20" ht="75" customHeight="1" x14ac:dyDescent="0.25">
      <c r="A242" s="599" t="s">
        <v>1915</v>
      </c>
      <c r="B242" s="599" t="s">
        <v>1920</v>
      </c>
      <c r="C242" s="600">
        <v>23</v>
      </c>
      <c r="D242" s="601"/>
      <c r="E242" s="1044" t="s">
        <v>916</v>
      </c>
      <c r="F242" s="603" t="s">
        <v>2421</v>
      </c>
      <c r="G242" s="608" t="s">
        <v>942</v>
      </c>
      <c r="H242" s="1048" t="s">
        <v>942</v>
      </c>
      <c r="I242" s="607">
        <f>350812500/1000</f>
        <v>350812.5</v>
      </c>
      <c r="J242" s="1045" t="s">
        <v>942</v>
      </c>
      <c r="K242" s="607">
        <v>1185000</v>
      </c>
      <c r="L242" s="1045" t="s">
        <v>942</v>
      </c>
      <c r="M242" s="607">
        <v>1102500</v>
      </c>
      <c r="N242" s="1045" t="s">
        <v>942</v>
      </c>
      <c r="O242" s="607">
        <v>1041000</v>
      </c>
      <c r="P242" s="1045" t="s">
        <v>942</v>
      </c>
      <c r="Q242" s="607">
        <v>1069600</v>
      </c>
      <c r="R242" s="1048" t="s">
        <v>2543</v>
      </c>
      <c r="S242" s="607">
        <f t="shared" si="0"/>
        <v>4748912.5</v>
      </c>
      <c r="T242" s="608" t="s">
        <v>2087</v>
      </c>
    </row>
    <row r="243" spans="1:20" s="1051" customFormat="1" ht="76.5" customHeight="1" x14ac:dyDescent="0.2">
      <c r="A243" s="599" t="s">
        <v>1915</v>
      </c>
      <c r="B243" s="599" t="s">
        <v>1920</v>
      </c>
      <c r="C243" s="600">
        <v>22</v>
      </c>
      <c r="D243" s="601"/>
      <c r="E243" s="1044" t="s">
        <v>922</v>
      </c>
      <c r="F243" s="603" t="s">
        <v>2544</v>
      </c>
      <c r="G243" s="608" t="s">
        <v>2545</v>
      </c>
      <c r="H243" s="1049"/>
      <c r="I243" s="1047">
        <f>186400000/1000</f>
        <v>186400</v>
      </c>
      <c r="J243" s="1050" t="s">
        <v>898</v>
      </c>
      <c r="K243" s="1047">
        <v>510000</v>
      </c>
      <c r="L243" s="1050" t="s">
        <v>898</v>
      </c>
      <c r="M243" s="1047">
        <v>630000</v>
      </c>
      <c r="N243" s="1050" t="s">
        <v>898</v>
      </c>
      <c r="O243" s="1047">
        <v>650000</v>
      </c>
      <c r="P243" s="1050" t="s">
        <v>898</v>
      </c>
      <c r="Q243" s="1047">
        <v>800000</v>
      </c>
      <c r="R243" s="1048" t="s">
        <v>2546</v>
      </c>
      <c r="S243" s="607">
        <f t="shared" si="0"/>
        <v>2776400</v>
      </c>
      <c r="T243" s="608" t="s">
        <v>2087</v>
      </c>
    </row>
    <row r="244" spans="1:20" s="440" customFormat="1" ht="81" customHeight="1" x14ac:dyDescent="0.2">
      <c r="A244" s="599" t="s">
        <v>1915</v>
      </c>
      <c r="B244" s="599" t="s">
        <v>1920</v>
      </c>
      <c r="C244" s="600">
        <v>19</v>
      </c>
      <c r="D244" s="601"/>
      <c r="E244" s="1044" t="s">
        <v>927</v>
      </c>
      <c r="F244" s="603" t="s">
        <v>2547</v>
      </c>
      <c r="G244" s="608">
        <v>0</v>
      </c>
      <c r="H244" s="1052" t="s">
        <v>217</v>
      </c>
      <c r="I244" s="1052" t="s">
        <v>217</v>
      </c>
      <c r="J244" s="1052" t="s">
        <v>217</v>
      </c>
      <c r="K244" s="1052" t="s">
        <v>217</v>
      </c>
      <c r="L244" s="1048" t="s">
        <v>2083</v>
      </c>
      <c r="M244" s="1047">
        <v>90000</v>
      </c>
      <c r="N244" s="1052" t="s">
        <v>217</v>
      </c>
      <c r="O244" s="1052" t="s">
        <v>217</v>
      </c>
      <c r="P244" s="1052" t="s">
        <v>217</v>
      </c>
      <c r="Q244" s="1052" t="s">
        <v>217</v>
      </c>
      <c r="R244" s="1048" t="s">
        <v>2083</v>
      </c>
      <c r="S244" s="607">
        <v>900000</v>
      </c>
      <c r="T244" s="608" t="s">
        <v>2087</v>
      </c>
    </row>
    <row r="245" spans="1:20" s="526" customFormat="1" ht="51" customHeight="1" x14ac:dyDescent="0.25">
      <c r="A245" s="599" t="s">
        <v>1915</v>
      </c>
      <c r="B245" s="599" t="s">
        <v>1920</v>
      </c>
      <c r="C245" s="599" t="s">
        <v>2080</v>
      </c>
      <c r="D245" s="601"/>
      <c r="E245" s="602" t="s">
        <v>966</v>
      </c>
      <c r="F245" s="603" t="s">
        <v>2548</v>
      </c>
      <c r="G245" s="608" t="s">
        <v>2549</v>
      </c>
      <c r="H245" s="1048" t="s">
        <v>2549</v>
      </c>
      <c r="I245" s="1053">
        <v>278898</v>
      </c>
      <c r="J245" s="1048" t="s">
        <v>2550</v>
      </c>
      <c r="K245" s="1053">
        <v>300000</v>
      </c>
      <c r="L245" s="1048" t="s">
        <v>2550</v>
      </c>
      <c r="M245" s="1053">
        <v>320000</v>
      </c>
      <c r="N245" s="1048" t="s">
        <v>2550</v>
      </c>
      <c r="O245" s="1053">
        <v>350000</v>
      </c>
      <c r="P245" s="1048" t="s">
        <v>2278</v>
      </c>
      <c r="Q245" s="1053">
        <v>365000</v>
      </c>
      <c r="R245" s="1048">
        <f>50+45+45+45+21</f>
        <v>206</v>
      </c>
      <c r="S245" s="607">
        <f t="shared" si="0"/>
        <v>1613898</v>
      </c>
      <c r="T245" s="608" t="s">
        <v>2087</v>
      </c>
    </row>
    <row r="246" spans="1:20" s="474" customFormat="1" ht="83.25" customHeight="1" x14ac:dyDescent="0.25">
      <c r="A246" s="599" t="s">
        <v>1915</v>
      </c>
      <c r="B246" s="599" t="s">
        <v>1920</v>
      </c>
      <c r="C246" s="599">
        <v>20</v>
      </c>
      <c r="D246" s="601"/>
      <c r="E246" s="602" t="s">
        <v>968</v>
      </c>
      <c r="F246" s="603" t="s">
        <v>2551</v>
      </c>
      <c r="G246" s="604" t="s">
        <v>217</v>
      </c>
      <c r="H246" s="1054">
        <v>0.98</v>
      </c>
      <c r="I246" s="1055">
        <v>750000</v>
      </c>
      <c r="J246" s="1052" t="s">
        <v>217</v>
      </c>
      <c r="K246" s="1052" t="s">
        <v>217</v>
      </c>
      <c r="L246" s="1052" t="s">
        <v>217</v>
      </c>
      <c r="M246" s="1052" t="s">
        <v>217</v>
      </c>
      <c r="N246" s="1056">
        <v>0.99</v>
      </c>
      <c r="O246" s="1055">
        <v>100000</v>
      </c>
      <c r="P246" s="1056">
        <v>1</v>
      </c>
      <c r="Q246" s="1055">
        <v>120000</v>
      </c>
      <c r="R246" s="1056">
        <v>1</v>
      </c>
      <c r="S246" s="607">
        <v>970000</v>
      </c>
      <c r="T246" s="608" t="s">
        <v>2087</v>
      </c>
    </row>
    <row r="247" spans="1:20" x14ac:dyDescent="0.25">
      <c r="A247" s="1057"/>
      <c r="B247" s="1058"/>
      <c r="C247" s="1058"/>
      <c r="D247" s="1059"/>
      <c r="E247" s="1060"/>
      <c r="F247" s="886"/>
      <c r="G247" s="1060"/>
      <c r="H247" s="886"/>
      <c r="I247" s="886"/>
      <c r="J247" s="886"/>
      <c r="K247" s="886"/>
      <c r="L247" s="886"/>
      <c r="M247" s="886"/>
      <c r="N247" s="886"/>
      <c r="O247" s="886"/>
      <c r="P247" s="886"/>
      <c r="Q247" s="886"/>
      <c r="R247" s="886"/>
      <c r="S247" s="886"/>
      <c r="T247" s="1060"/>
    </row>
    <row r="248" spans="1:20" x14ac:dyDescent="0.25">
      <c r="A248" s="1061"/>
      <c r="B248" s="1062"/>
      <c r="C248" s="1062"/>
      <c r="D248" s="1063"/>
      <c r="E248" s="1060"/>
      <c r="F248" s="886"/>
      <c r="G248" s="1060"/>
      <c r="H248" s="886"/>
      <c r="I248" s="886"/>
      <c r="J248" s="886"/>
      <c r="K248" s="886"/>
      <c r="L248" s="886"/>
      <c r="M248" s="886"/>
      <c r="N248" s="886"/>
      <c r="O248" s="886"/>
      <c r="P248" s="886"/>
      <c r="Q248" s="886"/>
      <c r="R248" s="886"/>
      <c r="S248" s="886"/>
      <c r="T248" s="1060"/>
    </row>
    <row r="249" spans="1:20" x14ac:dyDescent="0.25">
      <c r="A249" s="1061"/>
      <c r="B249" s="1062"/>
      <c r="C249" s="1062"/>
      <c r="D249" s="1063"/>
      <c r="E249" s="1060"/>
      <c r="F249" s="886"/>
      <c r="G249" s="1060"/>
      <c r="H249" s="886"/>
      <c r="I249" s="886"/>
      <c r="J249" s="886"/>
      <c r="K249" s="886"/>
      <c r="L249" s="886"/>
      <c r="M249" s="886"/>
      <c r="N249" s="886"/>
      <c r="O249" s="886"/>
      <c r="P249" s="886"/>
      <c r="Q249" s="886"/>
      <c r="R249" s="886"/>
      <c r="S249" s="886"/>
      <c r="T249" s="1060"/>
    </row>
    <row r="250" spans="1:20" x14ac:dyDescent="0.25">
      <c r="A250" s="1061"/>
      <c r="B250" s="1062"/>
      <c r="C250" s="1062"/>
      <c r="D250" s="1063"/>
      <c r="E250" s="1060"/>
      <c r="F250" s="886"/>
      <c r="G250" s="1060"/>
      <c r="H250" s="886"/>
      <c r="I250" s="886"/>
      <c r="J250" s="886"/>
      <c r="K250" s="886"/>
      <c r="L250" s="886"/>
      <c r="M250" s="886"/>
      <c r="N250" s="886"/>
      <c r="O250" s="886"/>
      <c r="P250" s="886"/>
      <c r="Q250" s="886"/>
      <c r="R250" s="886"/>
      <c r="S250" s="886"/>
      <c r="T250" s="1060"/>
    </row>
    <row r="251" spans="1:20" x14ac:dyDescent="0.25">
      <c r="A251" s="1061"/>
      <c r="B251" s="1062"/>
      <c r="C251" s="1062"/>
      <c r="D251" s="1063"/>
      <c r="E251" s="1060"/>
      <c r="F251" s="886"/>
      <c r="G251" s="1060"/>
      <c r="H251" s="886"/>
      <c r="I251" s="886"/>
      <c r="J251" s="886"/>
      <c r="K251" s="886"/>
      <c r="L251" s="886"/>
      <c r="M251" s="886"/>
      <c r="N251" s="886"/>
      <c r="O251" s="886"/>
      <c r="P251" s="886"/>
      <c r="Q251" s="886"/>
      <c r="R251" s="886"/>
      <c r="S251" s="886"/>
      <c r="T251" s="1060"/>
    </row>
    <row r="252" spans="1:20" x14ac:dyDescent="0.25">
      <c r="A252" s="1061"/>
      <c r="B252" s="1062"/>
      <c r="C252" s="1062"/>
      <c r="D252" s="1063"/>
      <c r="E252" s="1060"/>
      <c r="F252" s="886"/>
      <c r="G252" s="1060"/>
      <c r="H252" s="886"/>
      <c r="I252" s="886"/>
      <c r="J252" s="886"/>
      <c r="K252" s="886"/>
      <c r="L252" s="886"/>
      <c r="M252" s="886"/>
      <c r="N252" s="886"/>
      <c r="O252" s="886"/>
      <c r="P252" s="886"/>
      <c r="Q252" s="886"/>
      <c r="R252" s="886"/>
      <c r="S252" s="886"/>
      <c r="T252" s="1060"/>
    </row>
    <row r="253" spans="1:20" x14ac:dyDescent="0.25">
      <c r="A253" s="1061"/>
      <c r="B253" s="1062"/>
      <c r="C253" s="1062"/>
      <c r="D253" s="1063"/>
      <c r="E253" s="1060"/>
      <c r="F253" s="886"/>
      <c r="G253" s="1060"/>
      <c r="H253" s="886"/>
      <c r="I253" s="886"/>
      <c r="J253" s="886"/>
      <c r="K253" s="886"/>
      <c r="L253" s="886"/>
      <c r="M253" s="886"/>
      <c r="N253" s="886"/>
      <c r="O253" s="886"/>
      <c r="P253" s="886"/>
      <c r="Q253" s="886"/>
      <c r="R253" s="886"/>
      <c r="S253" s="886"/>
      <c r="T253" s="1060"/>
    </row>
    <row r="254" spans="1:20" x14ac:dyDescent="0.25">
      <c r="A254" s="1061"/>
      <c r="B254" s="1062"/>
      <c r="C254" s="1062"/>
      <c r="D254" s="1063"/>
      <c r="E254" s="1060"/>
      <c r="F254" s="886"/>
      <c r="G254" s="1060"/>
      <c r="H254" s="886"/>
      <c r="I254" s="886"/>
      <c r="J254" s="886"/>
      <c r="K254" s="886"/>
      <c r="L254" s="886"/>
      <c r="M254" s="886"/>
      <c r="N254" s="886"/>
      <c r="O254" s="886"/>
      <c r="P254" s="886"/>
      <c r="Q254" s="886"/>
      <c r="R254" s="886"/>
      <c r="S254" s="886"/>
      <c r="T254" s="1060"/>
    </row>
    <row r="255" spans="1:20" x14ac:dyDescent="0.25">
      <c r="A255" s="1061"/>
      <c r="B255" s="1062"/>
      <c r="C255" s="1062"/>
      <c r="D255" s="1063"/>
      <c r="E255" s="1060"/>
      <c r="F255" s="886"/>
      <c r="G255" s="1060"/>
      <c r="H255" s="886"/>
      <c r="I255" s="886"/>
      <c r="J255" s="886"/>
      <c r="K255" s="886"/>
      <c r="L255" s="886"/>
      <c r="M255" s="886"/>
      <c r="N255" s="886"/>
      <c r="O255" s="886"/>
      <c r="P255" s="886"/>
      <c r="Q255" s="886"/>
      <c r="R255" s="886"/>
      <c r="S255" s="886"/>
      <c r="T255" s="1060"/>
    </row>
    <row r="256" spans="1:20" x14ac:dyDescent="0.25">
      <c r="A256" s="1061"/>
      <c r="B256" s="1062"/>
      <c r="C256" s="1062"/>
      <c r="D256" s="1063"/>
      <c r="E256" s="1060"/>
      <c r="F256" s="886"/>
      <c r="G256" s="1060"/>
      <c r="H256" s="886"/>
      <c r="I256" s="886"/>
      <c r="J256" s="886"/>
      <c r="K256" s="886"/>
      <c r="L256" s="886"/>
      <c r="M256" s="886"/>
      <c r="N256" s="886"/>
      <c r="O256" s="886"/>
      <c r="P256" s="886"/>
      <c r="Q256" s="886"/>
      <c r="R256" s="886"/>
      <c r="S256" s="886"/>
      <c r="T256" s="1060"/>
    </row>
    <row r="257" spans="1:20" x14ac:dyDescent="0.25">
      <c r="A257" s="1061"/>
      <c r="B257" s="1062"/>
      <c r="C257" s="1062"/>
      <c r="D257" s="1063"/>
      <c r="E257" s="1060"/>
      <c r="F257" s="886"/>
      <c r="G257" s="1060"/>
      <c r="H257" s="886"/>
      <c r="I257" s="886"/>
      <c r="J257" s="886"/>
      <c r="K257" s="886"/>
      <c r="L257" s="886"/>
      <c r="M257" s="886"/>
      <c r="N257" s="886"/>
      <c r="O257" s="886"/>
      <c r="P257" s="886"/>
      <c r="Q257" s="886"/>
      <c r="R257" s="886"/>
      <c r="S257" s="886"/>
      <c r="T257" s="1060"/>
    </row>
    <row r="258" spans="1:20" x14ac:dyDescent="0.25">
      <c r="A258" s="1061"/>
      <c r="B258" s="1062"/>
      <c r="C258" s="1062"/>
      <c r="D258" s="1063"/>
      <c r="E258" s="1060"/>
      <c r="F258" s="886"/>
      <c r="G258" s="1060"/>
      <c r="H258" s="886"/>
      <c r="I258" s="886"/>
      <c r="J258" s="886"/>
      <c r="K258" s="886"/>
      <c r="L258" s="886"/>
      <c r="M258" s="886"/>
      <c r="N258" s="886"/>
      <c r="O258" s="886"/>
      <c r="P258" s="886"/>
      <c r="Q258" s="886"/>
      <c r="R258" s="886"/>
      <c r="S258" s="886"/>
      <c r="T258" s="1060"/>
    </row>
    <row r="259" spans="1:20" x14ac:dyDescent="0.25">
      <c r="A259" s="1061"/>
      <c r="B259" s="1062"/>
      <c r="C259" s="1062"/>
      <c r="D259" s="1063"/>
      <c r="E259" s="1060"/>
      <c r="F259" s="886"/>
      <c r="G259" s="1060"/>
      <c r="H259" s="886"/>
      <c r="I259" s="886"/>
      <c r="J259" s="886"/>
      <c r="K259" s="886"/>
      <c r="L259" s="886"/>
      <c r="M259" s="886"/>
      <c r="N259" s="886"/>
      <c r="O259" s="886"/>
      <c r="P259" s="886"/>
      <c r="Q259" s="886"/>
      <c r="R259" s="886"/>
      <c r="S259" s="886"/>
      <c r="T259" s="1060"/>
    </row>
    <row r="260" spans="1:20" x14ac:dyDescent="0.25">
      <c r="A260" s="1061"/>
      <c r="B260" s="1062"/>
      <c r="C260" s="1062"/>
      <c r="D260" s="1063"/>
      <c r="E260" s="1060"/>
      <c r="F260" s="886"/>
      <c r="G260" s="1060"/>
      <c r="H260" s="886"/>
      <c r="I260" s="886"/>
      <c r="J260" s="886"/>
      <c r="K260" s="886"/>
      <c r="L260" s="886"/>
      <c r="M260" s="886"/>
      <c r="N260" s="886"/>
      <c r="O260" s="886"/>
      <c r="P260" s="886"/>
      <c r="Q260" s="886"/>
      <c r="R260" s="886"/>
      <c r="S260" s="886"/>
      <c r="T260" s="1060"/>
    </row>
    <row r="261" spans="1:20" x14ac:dyDescent="0.25">
      <c r="A261" s="1064"/>
      <c r="B261" s="1065"/>
      <c r="C261" s="1065"/>
      <c r="D261" s="1066"/>
      <c r="E261" s="1060"/>
      <c r="F261" s="886"/>
      <c r="G261" s="1060"/>
      <c r="H261" s="886"/>
      <c r="I261" s="886"/>
      <c r="J261" s="886"/>
      <c r="K261" s="886"/>
      <c r="L261" s="886"/>
      <c r="M261" s="886"/>
      <c r="N261" s="886"/>
      <c r="O261" s="886"/>
      <c r="P261" s="886"/>
      <c r="Q261" s="886"/>
      <c r="R261" s="886"/>
      <c r="S261" s="886"/>
      <c r="T261" s="1060"/>
    </row>
    <row r="262" spans="1:20" x14ac:dyDescent="0.25">
      <c r="A262" s="581"/>
      <c r="B262" s="581"/>
      <c r="C262" s="581"/>
      <c r="D262" s="581"/>
      <c r="E262" s="1060"/>
      <c r="F262" s="886"/>
      <c r="G262" s="1060"/>
      <c r="H262" s="886"/>
      <c r="I262" s="886"/>
      <c r="J262" s="886"/>
      <c r="K262" s="886"/>
      <c r="L262" s="886"/>
      <c r="M262" s="886"/>
      <c r="N262" s="886"/>
      <c r="O262" s="886"/>
      <c r="P262" s="886"/>
      <c r="Q262" s="886"/>
      <c r="R262" s="886"/>
      <c r="S262" s="886"/>
      <c r="T262" s="1060"/>
    </row>
  </sheetData>
  <mergeCells count="84">
    <mergeCell ref="A182:T182"/>
    <mergeCell ref="A189:E189"/>
    <mergeCell ref="A147:E147"/>
    <mergeCell ref="A151:E151"/>
    <mergeCell ref="A158:D158"/>
    <mergeCell ref="F158:G158"/>
    <mergeCell ref="A175:G175"/>
    <mergeCell ref="T176:T179"/>
    <mergeCell ref="Q117:Q121"/>
    <mergeCell ref="S117:S121"/>
    <mergeCell ref="T117:T121"/>
    <mergeCell ref="T123:T125"/>
    <mergeCell ref="A127:E127"/>
    <mergeCell ref="A141:E141"/>
    <mergeCell ref="T107:T116"/>
    <mergeCell ref="A117:A121"/>
    <mergeCell ref="B117:B121"/>
    <mergeCell ref="C117:C121"/>
    <mergeCell ref="D117:D121"/>
    <mergeCell ref="E117:E121"/>
    <mergeCell ref="I117:I121"/>
    <mergeCell ref="K117:K121"/>
    <mergeCell ref="M117:M121"/>
    <mergeCell ref="O117:O121"/>
    <mergeCell ref="I107:I116"/>
    <mergeCell ref="K107:K116"/>
    <mergeCell ref="M107:M116"/>
    <mergeCell ref="O107:O116"/>
    <mergeCell ref="Q107:Q116"/>
    <mergeCell ref="S107:S116"/>
    <mergeCell ref="M104:M106"/>
    <mergeCell ref="O104:O106"/>
    <mergeCell ref="Q104:Q106"/>
    <mergeCell ref="S104:S106"/>
    <mergeCell ref="A107:A116"/>
    <mergeCell ref="B107:B116"/>
    <mergeCell ref="C107:C116"/>
    <mergeCell ref="D107:D116"/>
    <mergeCell ref="E107:E116"/>
    <mergeCell ref="A98:F98"/>
    <mergeCell ref="A102:T102"/>
    <mergeCell ref="A103:E103"/>
    <mergeCell ref="A104:A106"/>
    <mergeCell ref="B104:B106"/>
    <mergeCell ref="C104:C106"/>
    <mergeCell ref="D104:D106"/>
    <mergeCell ref="E104:E106"/>
    <mergeCell ref="I104:I106"/>
    <mergeCell ref="K104:K106"/>
    <mergeCell ref="T104:T106"/>
    <mergeCell ref="A96:E96"/>
    <mergeCell ref="A10:F10"/>
    <mergeCell ref="A28:E28"/>
    <mergeCell ref="A40:T40"/>
    <mergeCell ref="A60:T60"/>
    <mergeCell ref="A61:E61"/>
    <mergeCell ref="A64:T64"/>
    <mergeCell ref="A65:E65"/>
    <mergeCell ref="A69:E69"/>
    <mergeCell ref="A74:T74"/>
    <mergeCell ref="A75:E75"/>
    <mergeCell ref="A89:E89"/>
    <mergeCell ref="A9:T9"/>
    <mergeCell ref="A6:A7"/>
    <mergeCell ref="B6:B7"/>
    <mergeCell ref="C6:C7"/>
    <mergeCell ref="D6:D7"/>
    <mergeCell ref="H6:I6"/>
    <mergeCell ref="J6:K6"/>
    <mergeCell ref="L6:M6"/>
    <mergeCell ref="N6:O6"/>
    <mergeCell ref="P6:Q6"/>
    <mergeCell ref="R6:S6"/>
    <mergeCell ref="A8:D8"/>
    <mergeCell ref="A1:T1"/>
    <mergeCell ref="A2:T2"/>
    <mergeCell ref="A3:T3"/>
    <mergeCell ref="R4:T4"/>
    <mergeCell ref="A5:D5"/>
    <mergeCell ref="E5:E7"/>
    <mergeCell ref="F5:F7"/>
    <mergeCell ref="G5:G7"/>
    <mergeCell ref="H5:S5"/>
    <mergeCell ref="T5:T7"/>
  </mergeCells>
  <hyperlinks>
    <hyperlink ref="E152" r:id="rId1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E157" r:id="rId2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E156" r:id="rId3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  <hyperlink ref="E155" r:id="rId4" display="http://192.168.1.25/SIM-APBD_2014/Dokumen_SKPD_DPA_22.asp?DRSK=SKPD%202.2&amp;Jdl_Dok=RENCANA&amp;Level=Rincian_Objek&amp;Per=2014&amp;Ubah=0&amp;Sat=1.18.01&amp;DPA=&amp;SKU=1.18&amp;UID=11801yosua_14&amp;PaW=7654556687654&amp;StK=1.18.1.18.01&amp;IDL=76572&amp;NmP="/>
  </hyperlinks>
  <pageMargins left="0.44291338600000002" right="0.1" top="0.49803149600000002" bottom="0.49803149600000002" header="0.31496062992126" footer="0.31496062992126"/>
  <pageSetup paperSize="9" scale="55" fitToHeight="0" orientation="landscape" horizontalDpi="4294967293" r:id="rId5"/>
  <rowBreaks count="2" manualBreakCount="2">
    <brk id="59" max="16383" man="1"/>
    <brk id="246" max="16383" man="1"/>
  </rowBreaks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10"/>
  <sheetViews>
    <sheetView topLeftCell="A71" workbookViewId="0">
      <selection activeCell="B8" sqref="B8:J8"/>
    </sheetView>
  </sheetViews>
  <sheetFormatPr defaultRowHeight="15" x14ac:dyDescent="0.25"/>
  <cols>
    <col min="1" max="1" width="7.85546875" style="1094" customWidth="1"/>
    <col min="2" max="2" width="25.5703125" style="1094" customWidth="1"/>
    <col min="3" max="3" width="10.85546875" style="1094" customWidth="1"/>
    <col min="4" max="4" width="7.85546875" style="1094" customWidth="1"/>
    <col min="5" max="5" width="15" style="1094" customWidth="1"/>
    <col min="6" max="6" width="16" style="1094" customWidth="1"/>
    <col min="7" max="7" width="15.28515625" style="1094" customWidth="1"/>
    <col min="8" max="8" width="15.5703125" style="1094" customWidth="1"/>
    <col min="9" max="9" width="15.42578125" style="1094" bestFit="1" customWidth="1"/>
    <col min="10" max="10" width="15.5703125" style="1094" customWidth="1"/>
    <col min="11" max="11" width="15" style="1094" customWidth="1"/>
    <col min="12" max="16384" width="9.140625" style="1094"/>
  </cols>
  <sheetData>
    <row r="1" spans="1:14" x14ac:dyDescent="0.25">
      <c r="A1" s="1581" t="s">
        <v>1788</v>
      </c>
      <c r="B1" s="1581"/>
      <c r="C1" s="1581"/>
      <c r="D1" s="1581"/>
      <c r="E1" s="1581"/>
      <c r="F1" s="1581"/>
      <c r="G1" s="1581"/>
      <c r="H1" s="1581"/>
      <c r="I1" s="1581"/>
      <c r="J1" s="1581"/>
      <c r="K1" s="1581"/>
    </row>
    <row r="2" spans="1:14" ht="15.75" x14ac:dyDescent="0.25">
      <c r="A2" s="1582" t="s">
        <v>1789</v>
      </c>
      <c r="B2" s="1582"/>
      <c r="C2" s="1582"/>
      <c r="D2" s="1582"/>
      <c r="E2" s="1582"/>
      <c r="F2" s="1582"/>
      <c r="G2" s="1582"/>
      <c r="H2" s="1582"/>
      <c r="I2" s="1582"/>
      <c r="J2" s="1582"/>
      <c r="K2" s="1582"/>
    </row>
    <row r="3" spans="1:14" ht="15.75" x14ac:dyDescent="0.25">
      <c r="A3" s="1582" t="s">
        <v>1790</v>
      </c>
      <c r="B3" s="1582"/>
      <c r="C3" s="1582"/>
      <c r="D3" s="1582"/>
      <c r="E3" s="1582"/>
      <c r="F3" s="1582"/>
      <c r="G3" s="1582"/>
      <c r="H3" s="1582"/>
      <c r="I3" s="1582"/>
      <c r="J3" s="1582"/>
      <c r="K3" s="1582"/>
    </row>
    <row r="4" spans="1:14" ht="15.75" x14ac:dyDescent="0.25">
      <c r="A4" s="1583" t="s">
        <v>1791</v>
      </c>
      <c r="B4" s="1583"/>
      <c r="C4" s="1583"/>
      <c r="D4" s="1583"/>
      <c r="E4" s="1583"/>
      <c r="F4" s="1583"/>
      <c r="G4" s="1583"/>
      <c r="H4" s="1583"/>
      <c r="I4" s="1583"/>
      <c r="J4" s="1583"/>
      <c r="K4" s="1583"/>
    </row>
    <row r="5" spans="1:14" x14ac:dyDescent="0.25">
      <c r="A5" s="1095"/>
      <c r="B5" s="1095"/>
      <c r="C5" s="1095"/>
      <c r="D5" s="1095"/>
    </row>
    <row r="6" spans="1:14" ht="51" x14ac:dyDescent="0.25">
      <c r="A6" s="1584" t="s">
        <v>1253</v>
      </c>
      <c r="B6" s="1584" t="s">
        <v>1254</v>
      </c>
      <c r="C6" s="1096" t="s">
        <v>8</v>
      </c>
      <c r="D6" s="1585" t="s">
        <v>1255</v>
      </c>
      <c r="E6" s="1097" t="s">
        <v>1256</v>
      </c>
      <c r="F6" s="1587" t="s">
        <v>1257</v>
      </c>
      <c r="G6" s="1587"/>
      <c r="H6" s="1587"/>
      <c r="I6" s="1587"/>
      <c r="J6" s="1587"/>
      <c r="K6" s="1588" t="s">
        <v>1258</v>
      </c>
    </row>
    <row r="7" spans="1:14" x14ac:dyDescent="0.25">
      <c r="A7" s="1584"/>
      <c r="B7" s="1584"/>
      <c r="C7" s="1098"/>
      <c r="D7" s="1586"/>
      <c r="E7" s="1097">
        <v>2013</v>
      </c>
      <c r="F7" s="1097">
        <v>2014</v>
      </c>
      <c r="G7" s="1097">
        <v>2015</v>
      </c>
      <c r="H7" s="1097">
        <v>2016</v>
      </c>
      <c r="I7" s="1097">
        <v>2017</v>
      </c>
      <c r="J7" s="1097">
        <v>2018</v>
      </c>
      <c r="K7" s="1588"/>
    </row>
    <row r="8" spans="1:14" x14ac:dyDescent="0.25">
      <c r="A8" s="1099" t="s">
        <v>1259</v>
      </c>
      <c r="B8" s="1099" t="s">
        <v>1260</v>
      </c>
      <c r="C8" s="1099"/>
      <c r="D8" s="1100" t="s">
        <v>1261</v>
      </c>
      <c r="E8" s="1100" t="s">
        <v>1262</v>
      </c>
      <c r="F8" s="1100" t="s">
        <v>1263</v>
      </c>
      <c r="G8" s="1100" t="s">
        <v>1264</v>
      </c>
      <c r="H8" s="1100" t="s">
        <v>1265</v>
      </c>
      <c r="I8" s="1100" t="s">
        <v>1266</v>
      </c>
      <c r="J8" s="1100" t="s">
        <v>1267</v>
      </c>
      <c r="K8" s="1100" t="s">
        <v>1268</v>
      </c>
    </row>
    <row r="9" spans="1:14" ht="19.5" customHeight="1" x14ac:dyDescent="0.25">
      <c r="A9" s="1101" t="s">
        <v>20</v>
      </c>
      <c r="B9" s="1539" t="s">
        <v>21</v>
      </c>
      <c r="C9" s="1540"/>
      <c r="D9" s="1540"/>
      <c r="E9" s="1540"/>
      <c r="F9" s="1540"/>
      <c r="G9" s="1540"/>
      <c r="H9" s="1540"/>
      <c r="I9" s="1540"/>
      <c r="J9" s="1540"/>
      <c r="K9" s="1541"/>
    </row>
    <row r="10" spans="1:14" ht="21.75" customHeight="1" x14ac:dyDescent="0.25">
      <c r="A10" s="1101" t="s">
        <v>22</v>
      </c>
      <c r="B10" s="1539" t="s">
        <v>1269</v>
      </c>
      <c r="C10" s="1540"/>
      <c r="D10" s="1540"/>
      <c r="E10" s="1540"/>
      <c r="F10" s="1540"/>
      <c r="G10" s="1540"/>
      <c r="H10" s="1540"/>
      <c r="I10" s="1540"/>
      <c r="J10" s="1540"/>
      <c r="K10" s="1541"/>
    </row>
    <row r="11" spans="1:14" ht="36" customHeight="1" x14ac:dyDescent="0.25">
      <c r="A11" s="123"/>
      <c r="B11" s="270" t="s">
        <v>26</v>
      </c>
      <c r="C11" s="25" t="s">
        <v>27</v>
      </c>
      <c r="D11" s="275" t="s">
        <v>1270</v>
      </c>
      <c r="E11" s="1102">
        <v>1034</v>
      </c>
      <c r="F11" s="1102"/>
      <c r="G11" s="1102">
        <v>2700</v>
      </c>
      <c r="H11" s="1102">
        <v>5400</v>
      </c>
      <c r="I11" s="1102">
        <v>8100</v>
      </c>
      <c r="J11" s="1102">
        <v>12000</v>
      </c>
      <c r="K11" s="1102">
        <v>12000</v>
      </c>
    </row>
    <row r="12" spans="1:14" ht="43.5" customHeight="1" x14ac:dyDescent="0.25">
      <c r="A12" s="123"/>
      <c r="B12" s="270" t="s">
        <v>30</v>
      </c>
      <c r="C12" s="25" t="s">
        <v>27</v>
      </c>
      <c r="D12" s="275" t="s">
        <v>1271</v>
      </c>
      <c r="E12" s="1103">
        <v>0</v>
      </c>
      <c r="F12" s="1102"/>
      <c r="G12" s="1103">
        <v>0.05</v>
      </c>
      <c r="H12" s="1103">
        <v>0.15</v>
      </c>
      <c r="I12" s="1103">
        <v>0.3</v>
      </c>
      <c r="J12" s="1103">
        <v>0.5</v>
      </c>
      <c r="K12" s="1103">
        <v>0.5</v>
      </c>
    </row>
    <row r="13" spans="1:14" ht="44.25" customHeight="1" x14ac:dyDescent="0.25">
      <c r="A13" s="123"/>
      <c r="B13" s="270" t="s">
        <v>32</v>
      </c>
      <c r="C13" s="25" t="s">
        <v>27</v>
      </c>
      <c r="D13" s="275" t="s">
        <v>1271</v>
      </c>
      <c r="E13" s="1103">
        <v>0</v>
      </c>
      <c r="F13" s="1102"/>
      <c r="G13" s="1103">
        <v>0.05</v>
      </c>
      <c r="H13" s="1103">
        <v>0.15</v>
      </c>
      <c r="I13" s="1103">
        <v>0.3</v>
      </c>
      <c r="J13" s="1103">
        <v>0.5</v>
      </c>
      <c r="K13" s="1103">
        <v>0.5</v>
      </c>
      <c r="L13" s="1104"/>
      <c r="M13" s="1105"/>
      <c r="N13" s="1105"/>
    </row>
    <row r="14" spans="1:14" ht="38.25" x14ac:dyDescent="0.25">
      <c r="A14" s="123"/>
      <c r="B14" s="271" t="s">
        <v>33</v>
      </c>
      <c r="C14" s="25" t="s">
        <v>27</v>
      </c>
      <c r="D14" s="275" t="s">
        <v>1271</v>
      </c>
      <c r="E14" s="1103">
        <v>0</v>
      </c>
      <c r="F14" s="1102"/>
      <c r="G14" s="1103">
        <v>0.5</v>
      </c>
      <c r="H14" s="1103">
        <v>1</v>
      </c>
      <c r="I14" s="1103">
        <v>1</v>
      </c>
      <c r="J14" s="1103">
        <v>1</v>
      </c>
      <c r="K14" s="1103">
        <v>1</v>
      </c>
      <c r="L14" s="1104"/>
      <c r="M14" s="1106"/>
      <c r="N14" s="1107"/>
    </row>
    <row r="15" spans="1:14" ht="31.5" customHeight="1" x14ac:dyDescent="0.25">
      <c r="A15" s="123"/>
      <c r="B15" s="41" t="s">
        <v>34</v>
      </c>
      <c r="C15" s="272" t="s">
        <v>39</v>
      </c>
      <c r="D15" s="272" t="s">
        <v>1270</v>
      </c>
      <c r="E15" s="1108" t="s">
        <v>217</v>
      </c>
      <c r="F15" s="273">
        <v>100</v>
      </c>
      <c r="G15" s="273">
        <v>100</v>
      </c>
      <c r="H15" s="273">
        <v>100</v>
      </c>
      <c r="I15" s="273">
        <v>100</v>
      </c>
      <c r="J15" s="273">
        <v>100</v>
      </c>
      <c r="K15" s="123">
        <v>500</v>
      </c>
    </row>
    <row r="16" spans="1:14" ht="31.5" customHeight="1" x14ac:dyDescent="0.25">
      <c r="A16" s="123"/>
      <c r="B16" s="41" t="s">
        <v>40</v>
      </c>
      <c r="C16" s="272" t="s">
        <v>39</v>
      </c>
      <c r="D16" s="25" t="s">
        <v>1271</v>
      </c>
      <c r="E16" s="1109">
        <v>98</v>
      </c>
      <c r="F16" s="1109">
        <v>100</v>
      </c>
      <c r="G16" s="1109">
        <v>100</v>
      </c>
      <c r="H16" s="1109">
        <v>100</v>
      </c>
      <c r="I16" s="1109">
        <v>100</v>
      </c>
      <c r="J16" s="1109">
        <v>100</v>
      </c>
      <c r="K16" s="1109">
        <v>100</v>
      </c>
      <c r="N16" s="1110"/>
    </row>
    <row r="17" spans="1:11" ht="45" customHeight="1" x14ac:dyDescent="0.25">
      <c r="A17" s="123"/>
      <c r="B17" s="270" t="s">
        <v>41</v>
      </c>
      <c r="C17" s="25" t="s">
        <v>27</v>
      </c>
      <c r="D17" s="25" t="s">
        <v>1271</v>
      </c>
      <c r="E17" s="1111">
        <v>0.35249999999999998</v>
      </c>
      <c r="F17" s="1112">
        <v>0.43580000000000002</v>
      </c>
      <c r="G17" s="1112">
        <v>0.51910000000000001</v>
      </c>
      <c r="H17" s="1112">
        <v>0.60240000000000005</v>
      </c>
      <c r="I17" s="1112">
        <v>0.68569999999999998</v>
      </c>
      <c r="J17" s="1112">
        <v>0.76900000000000002</v>
      </c>
      <c r="K17" s="1111">
        <v>0.76900000000000002</v>
      </c>
    </row>
    <row r="18" spans="1:11" ht="114.75" x14ac:dyDescent="0.25">
      <c r="A18" s="123"/>
      <c r="B18" s="270" t="s">
        <v>42</v>
      </c>
      <c r="C18" s="25" t="s">
        <v>27</v>
      </c>
      <c r="D18" s="25" t="s">
        <v>1271</v>
      </c>
      <c r="E18" s="1111">
        <v>0.35249999999999998</v>
      </c>
      <c r="F18" s="1112">
        <v>0.43580000000000002</v>
      </c>
      <c r="G18" s="1112">
        <v>0.51910000000000001</v>
      </c>
      <c r="H18" s="1112">
        <v>0.60240000000000005</v>
      </c>
      <c r="I18" s="1112">
        <v>0.68569999999999998</v>
      </c>
      <c r="J18" s="1112">
        <v>0.76900000000000002</v>
      </c>
      <c r="K18" s="1111">
        <v>0.76900000000000002</v>
      </c>
    </row>
    <row r="19" spans="1:11" ht="51" x14ac:dyDescent="0.25">
      <c r="A19" s="123"/>
      <c r="B19" s="270" t="s">
        <v>43</v>
      </c>
      <c r="C19" s="25" t="s">
        <v>27</v>
      </c>
      <c r="D19" s="25" t="s">
        <v>1271</v>
      </c>
      <c r="E19" s="1113">
        <v>0.3</v>
      </c>
      <c r="F19" s="1112">
        <v>0.32500000000000001</v>
      </c>
      <c r="G19" s="1112">
        <v>0.35</v>
      </c>
      <c r="H19" s="1112">
        <v>0.4</v>
      </c>
      <c r="I19" s="1112">
        <v>0.45</v>
      </c>
      <c r="J19" s="1112">
        <v>0.5</v>
      </c>
      <c r="K19" s="1113">
        <v>0.5</v>
      </c>
    </row>
    <row r="20" spans="1:11" ht="33" customHeight="1" x14ac:dyDescent="0.25">
      <c r="A20" s="123"/>
      <c r="B20" s="270" t="s">
        <v>44</v>
      </c>
      <c r="C20" s="25" t="s">
        <v>27</v>
      </c>
      <c r="D20" s="25" t="s">
        <v>1271</v>
      </c>
      <c r="E20" s="1113">
        <v>0.15</v>
      </c>
      <c r="F20" s="1112">
        <v>0.17249999999999999</v>
      </c>
      <c r="G20" s="1114">
        <v>0.2</v>
      </c>
      <c r="H20" s="1112">
        <v>0.22500000000000001</v>
      </c>
      <c r="I20" s="1114">
        <v>0.25</v>
      </c>
      <c r="J20" s="1114">
        <v>0.3</v>
      </c>
      <c r="K20" s="1113">
        <v>0.3</v>
      </c>
    </row>
    <row r="21" spans="1:11" ht="45" customHeight="1" x14ac:dyDescent="0.25">
      <c r="A21" s="123"/>
      <c r="B21" s="270" t="s">
        <v>47</v>
      </c>
      <c r="C21" s="25" t="s">
        <v>27</v>
      </c>
      <c r="D21" s="25" t="s">
        <v>1271</v>
      </c>
      <c r="E21" s="37">
        <v>0</v>
      </c>
      <c r="F21" s="37">
        <v>0.1</v>
      </c>
      <c r="G21" s="1103">
        <v>0.3</v>
      </c>
      <c r="H21" s="1103">
        <v>0.5</v>
      </c>
      <c r="I21" s="1103">
        <v>0.75</v>
      </c>
      <c r="J21" s="1103">
        <v>1</v>
      </c>
      <c r="K21" s="37">
        <v>1</v>
      </c>
    </row>
    <row r="22" spans="1:11" ht="44.25" customHeight="1" x14ac:dyDescent="0.25">
      <c r="A22" s="123"/>
      <c r="B22" s="270" t="s">
        <v>50</v>
      </c>
      <c r="C22" s="25" t="s">
        <v>27</v>
      </c>
      <c r="D22" s="25" t="s">
        <v>1271</v>
      </c>
      <c r="E22" s="37">
        <v>0.05</v>
      </c>
      <c r="F22" s="37">
        <v>0.15</v>
      </c>
      <c r="G22" s="1115">
        <v>0.55000000000000004</v>
      </c>
      <c r="H22" s="1115">
        <v>1</v>
      </c>
      <c r="I22" s="1115">
        <v>1</v>
      </c>
      <c r="J22" s="1115">
        <v>1</v>
      </c>
      <c r="K22" s="1115">
        <v>1</v>
      </c>
    </row>
    <row r="23" spans="1:11" ht="38.25" x14ac:dyDescent="0.25">
      <c r="A23" s="272"/>
      <c r="B23" s="23" t="s">
        <v>52</v>
      </c>
      <c r="C23" s="25" t="s">
        <v>55</v>
      </c>
      <c r="D23" s="25" t="s">
        <v>1271</v>
      </c>
      <c r="E23" s="273">
        <v>10</v>
      </c>
      <c r="F23" s="273">
        <v>10</v>
      </c>
      <c r="G23" s="273">
        <v>24.27</v>
      </c>
      <c r="H23" s="273">
        <v>38.85</v>
      </c>
      <c r="I23" s="273">
        <v>53.75</v>
      </c>
      <c r="J23" s="273">
        <v>68.959999999999994</v>
      </c>
      <c r="K23" s="273">
        <v>84.48</v>
      </c>
    </row>
    <row r="24" spans="1:11" ht="38.25" x14ac:dyDescent="0.25">
      <c r="A24" s="123"/>
      <c r="B24" s="274" t="s">
        <v>56</v>
      </c>
      <c r="C24" s="25" t="s">
        <v>27</v>
      </c>
      <c r="D24" s="25" t="s">
        <v>1271</v>
      </c>
      <c r="E24" s="1111">
        <v>4.4299999999999999E-2</v>
      </c>
      <c r="F24" s="1111">
        <v>6.4899999999999999E-2</v>
      </c>
      <c r="G24" s="1111">
        <v>8.5620000000000002E-2</v>
      </c>
      <c r="H24" s="1111">
        <v>0.10630000000000001</v>
      </c>
      <c r="I24" s="1111">
        <v>0.12690000000000001</v>
      </c>
      <c r="J24" s="1111">
        <v>0.14760000000000001</v>
      </c>
      <c r="K24" s="1111">
        <v>0.14760000000000001</v>
      </c>
    </row>
    <row r="25" spans="1:11" ht="47.25" customHeight="1" x14ac:dyDescent="0.25">
      <c r="A25" s="123"/>
      <c r="B25" s="270" t="s">
        <v>57</v>
      </c>
      <c r="C25" s="25" t="s">
        <v>27</v>
      </c>
      <c r="D25" s="25" t="s">
        <v>1271</v>
      </c>
      <c r="E25" s="1111">
        <v>0.15379999999999999</v>
      </c>
      <c r="F25" s="1111">
        <v>0.2258</v>
      </c>
      <c r="G25" s="1111">
        <v>0.29780000000000001</v>
      </c>
      <c r="H25" s="1111">
        <v>0.36980000000000002</v>
      </c>
      <c r="I25" s="1116">
        <v>0.44080000000000003</v>
      </c>
      <c r="J25" s="1111">
        <v>0.51280000000000003</v>
      </c>
      <c r="K25" s="1111">
        <v>0.51280000000000003</v>
      </c>
    </row>
    <row r="26" spans="1:11" ht="34.5" customHeight="1" x14ac:dyDescent="0.25">
      <c r="A26" s="123"/>
      <c r="B26" s="1086" t="s">
        <v>58</v>
      </c>
      <c r="C26" s="25" t="s">
        <v>61</v>
      </c>
      <c r="D26" s="25" t="s">
        <v>1271</v>
      </c>
      <c r="E26" s="123" t="s">
        <v>1272</v>
      </c>
      <c r="F26" s="1111" t="s">
        <v>1273</v>
      </c>
      <c r="G26" s="1111" t="s">
        <v>1274</v>
      </c>
      <c r="H26" s="1117" t="s">
        <v>1275</v>
      </c>
      <c r="I26" s="123" t="s">
        <v>1276</v>
      </c>
      <c r="J26" s="123" t="s">
        <v>1277</v>
      </c>
      <c r="K26" s="123" t="s">
        <v>1277</v>
      </c>
    </row>
    <row r="27" spans="1:11" ht="45" customHeight="1" x14ac:dyDescent="0.25">
      <c r="A27" s="123"/>
      <c r="B27" s="1086" t="s">
        <v>62</v>
      </c>
      <c r="C27" s="25" t="s">
        <v>61</v>
      </c>
      <c r="D27" s="25" t="s">
        <v>1278</v>
      </c>
      <c r="E27" s="123">
        <v>3000</v>
      </c>
      <c r="F27" s="123">
        <v>3200</v>
      </c>
      <c r="G27" s="123">
        <v>3400</v>
      </c>
      <c r="H27" s="1117">
        <v>3800</v>
      </c>
      <c r="I27" s="123">
        <v>4000</v>
      </c>
      <c r="J27" s="1117">
        <v>4200</v>
      </c>
      <c r="K27" s="123">
        <v>4200</v>
      </c>
    </row>
    <row r="28" spans="1:11" ht="26.25" customHeight="1" x14ac:dyDescent="0.25">
      <c r="A28" s="123"/>
      <c r="B28" s="1086" t="s">
        <v>65</v>
      </c>
      <c r="C28" s="25" t="s">
        <v>61</v>
      </c>
      <c r="D28" s="25" t="s">
        <v>1279</v>
      </c>
      <c r="E28" s="123">
        <v>5400</v>
      </c>
      <c r="F28" s="123">
        <v>5760</v>
      </c>
      <c r="G28" s="123">
        <v>6120</v>
      </c>
      <c r="H28" s="1117">
        <v>6480</v>
      </c>
      <c r="I28" s="123">
        <v>6840</v>
      </c>
      <c r="J28" s="1117">
        <v>7200</v>
      </c>
      <c r="K28" s="123">
        <v>7200</v>
      </c>
    </row>
    <row r="29" spans="1:11" ht="99.75" customHeight="1" x14ac:dyDescent="0.25">
      <c r="A29" s="123"/>
      <c r="B29" s="270" t="s">
        <v>68</v>
      </c>
      <c r="C29" s="25" t="s">
        <v>27</v>
      </c>
      <c r="D29" s="275" t="s">
        <v>2570</v>
      </c>
      <c r="E29" s="1117">
        <v>1</v>
      </c>
      <c r="F29" s="1117"/>
      <c r="G29" s="1102">
        <v>2</v>
      </c>
      <c r="H29" s="1102">
        <v>3</v>
      </c>
      <c r="I29" s="1102">
        <v>4</v>
      </c>
      <c r="J29" s="1117">
        <v>5</v>
      </c>
      <c r="K29" s="1117">
        <v>5</v>
      </c>
    </row>
    <row r="30" spans="1:11" ht="33.75" customHeight="1" x14ac:dyDescent="0.25">
      <c r="A30" s="123"/>
      <c r="B30" s="270" t="s">
        <v>69</v>
      </c>
      <c r="C30" s="25" t="s">
        <v>27</v>
      </c>
      <c r="D30" s="275" t="s">
        <v>1271</v>
      </c>
      <c r="E30" s="1118">
        <v>0</v>
      </c>
      <c r="F30" s="1118"/>
      <c r="G30" s="1111">
        <v>0</v>
      </c>
      <c r="H30" s="1111">
        <v>0.1</v>
      </c>
      <c r="I30" s="1111">
        <v>0.2</v>
      </c>
      <c r="J30" s="1111">
        <v>0.3</v>
      </c>
      <c r="K30" s="1118">
        <v>0.3</v>
      </c>
    </row>
    <row r="31" spans="1:11" ht="61.5" customHeight="1" x14ac:dyDescent="0.25">
      <c r="A31" s="123"/>
      <c r="B31" s="270" t="s">
        <v>70</v>
      </c>
      <c r="C31" s="25" t="s">
        <v>27</v>
      </c>
      <c r="D31" s="275" t="s">
        <v>2570</v>
      </c>
      <c r="E31" s="123">
        <v>0</v>
      </c>
      <c r="F31" s="123"/>
      <c r="G31" s="1102">
        <v>1</v>
      </c>
      <c r="H31" s="1102">
        <v>2</v>
      </c>
      <c r="I31" s="1102">
        <v>2</v>
      </c>
      <c r="J31" s="123">
        <v>2</v>
      </c>
      <c r="K31" s="123">
        <v>2</v>
      </c>
    </row>
    <row r="32" spans="1:11" ht="23.25" customHeight="1" x14ac:dyDescent="0.25">
      <c r="A32" s="1101" t="s">
        <v>71</v>
      </c>
      <c r="B32" s="1539" t="s">
        <v>1280</v>
      </c>
      <c r="C32" s="1540"/>
      <c r="D32" s="1540"/>
      <c r="E32" s="1540"/>
      <c r="F32" s="1540"/>
      <c r="G32" s="1540"/>
      <c r="H32" s="1540"/>
      <c r="I32" s="1540"/>
      <c r="J32" s="1540"/>
      <c r="K32" s="1541"/>
    </row>
    <row r="33" spans="1:11" ht="81.75" customHeight="1" x14ac:dyDescent="0.25">
      <c r="A33" s="272"/>
      <c r="B33" s="1086" t="s">
        <v>1281</v>
      </c>
      <c r="C33" s="25" t="s">
        <v>55</v>
      </c>
      <c r="D33" s="25" t="s">
        <v>1271</v>
      </c>
      <c r="E33" s="273">
        <v>43</v>
      </c>
      <c r="F33" s="273">
        <v>43</v>
      </c>
      <c r="G33" s="273">
        <v>43</v>
      </c>
      <c r="H33" s="273">
        <v>57</v>
      </c>
      <c r="I33" s="273">
        <v>71</v>
      </c>
      <c r="J33" s="273">
        <v>86</v>
      </c>
      <c r="K33" s="273">
        <v>100</v>
      </c>
    </row>
    <row r="34" spans="1:11" ht="112.5" customHeight="1" x14ac:dyDescent="0.25">
      <c r="A34" s="272"/>
      <c r="B34" s="1086" t="s">
        <v>1282</v>
      </c>
      <c r="C34" s="25" t="s">
        <v>55</v>
      </c>
      <c r="D34" s="25" t="s">
        <v>1271</v>
      </c>
      <c r="E34" s="273">
        <v>20</v>
      </c>
      <c r="F34" s="273">
        <v>20</v>
      </c>
      <c r="G34" s="273">
        <v>20</v>
      </c>
      <c r="H34" s="273">
        <v>40</v>
      </c>
      <c r="I34" s="273">
        <v>60</v>
      </c>
      <c r="J34" s="273">
        <v>80</v>
      </c>
      <c r="K34" s="273">
        <v>100</v>
      </c>
    </row>
    <row r="35" spans="1:11" ht="123.75" customHeight="1" x14ac:dyDescent="0.25">
      <c r="A35" s="272"/>
      <c r="B35" s="1086" t="s">
        <v>1283</v>
      </c>
      <c r="C35" s="25" t="s">
        <v>55</v>
      </c>
      <c r="D35" s="25" t="s">
        <v>1271</v>
      </c>
      <c r="E35" s="273">
        <v>22.49</v>
      </c>
      <c r="F35" s="273">
        <v>22.49</v>
      </c>
      <c r="G35" s="273">
        <v>32.130000000000003</v>
      </c>
      <c r="H35" s="273">
        <v>48.2</v>
      </c>
      <c r="I35" s="273">
        <v>64.260000000000005</v>
      </c>
      <c r="J35" s="273">
        <v>80.33</v>
      </c>
      <c r="K35" s="273">
        <v>100</v>
      </c>
    </row>
    <row r="36" spans="1:11" ht="129" customHeight="1" x14ac:dyDescent="0.25">
      <c r="A36" s="272"/>
      <c r="B36" s="1086" t="s">
        <v>1284</v>
      </c>
      <c r="C36" s="25" t="s">
        <v>55</v>
      </c>
      <c r="D36" s="25" t="s">
        <v>1271</v>
      </c>
      <c r="E36" s="273">
        <v>17</v>
      </c>
      <c r="F36" s="273">
        <v>17</v>
      </c>
      <c r="G36" s="273">
        <v>33</v>
      </c>
      <c r="H36" s="273">
        <v>50</v>
      </c>
      <c r="I36" s="273">
        <v>67</v>
      </c>
      <c r="J36" s="273">
        <v>83</v>
      </c>
      <c r="K36" s="273">
        <v>100</v>
      </c>
    </row>
    <row r="37" spans="1:11" ht="61.5" customHeight="1" x14ac:dyDescent="0.25">
      <c r="A37" s="123"/>
      <c r="B37" s="271" t="s">
        <v>87</v>
      </c>
      <c r="C37" s="275" t="s">
        <v>27</v>
      </c>
      <c r="D37" s="271"/>
      <c r="E37" s="1119"/>
      <c r="F37" s="1119"/>
      <c r="G37" s="1119"/>
      <c r="H37" s="1119"/>
      <c r="I37" s="1119"/>
      <c r="J37" s="1119"/>
      <c r="K37" s="1119"/>
    </row>
    <row r="38" spans="1:11" ht="36.75" customHeight="1" x14ac:dyDescent="0.25">
      <c r="A38" s="123"/>
      <c r="B38" s="41" t="s">
        <v>1285</v>
      </c>
      <c r="C38" s="272" t="s">
        <v>39</v>
      </c>
      <c r="D38" s="272" t="s">
        <v>1286</v>
      </c>
      <c r="E38" s="123">
        <v>144</v>
      </c>
      <c r="F38" s="123">
        <v>160</v>
      </c>
      <c r="G38" s="123">
        <v>160</v>
      </c>
      <c r="H38" s="123">
        <v>160</v>
      </c>
      <c r="I38" s="123">
        <v>160</v>
      </c>
      <c r="J38" s="123">
        <v>160</v>
      </c>
      <c r="K38" s="123">
        <v>960</v>
      </c>
    </row>
    <row r="39" spans="1:11" ht="34.5" customHeight="1" x14ac:dyDescent="0.25">
      <c r="A39" s="123"/>
      <c r="B39" s="1120" t="s">
        <v>1287</v>
      </c>
      <c r="C39" s="272" t="s">
        <v>39</v>
      </c>
      <c r="D39" s="1082" t="s">
        <v>1833</v>
      </c>
      <c r="E39" s="123">
        <v>8</v>
      </c>
      <c r="F39" s="123">
        <v>12</v>
      </c>
      <c r="G39" s="123">
        <v>15</v>
      </c>
      <c r="H39" s="123">
        <v>15</v>
      </c>
      <c r="I39" s="123">
        <v>15</v>
      </c>
      <c r="J39" s="123">
        <v>15</v>
      </c>
      <c r="K39" s="123">
        <v>15</v>
      </c>
    </row>
    <row r="40" spans="1:11" ht="24.75" customHeight="1" x14ac:dyDescent="0.25">
      <c r="A40" s="1101" t="s">
        <v>100</v>
      </c>
      <c r="B40" s="1539" t="s">
        <v>101</v>
      </c>
      <c r="C40" s="1540"/>
      <c r="D40" s="1540"/>
      <c r="E40" s="1540"/>
      <c r="F40" s="1540"/>
      <c r="G40" s="1540"/>
      <c r="H40" s="1540"/>
      <c r="I40" s="1540"/>
      <c r="J40" s="1540"/>
      <c r="K40" s="1541"/>
    </row>
    <row r="41" spans="1:11" ht="51" x14ac:dyDescent="0.25">
      <c r="A41" s="1121"/>
      <c r="B41" s="276" t="s">
        <v>104</v>
      </c>
      <c r="C41" s="1122" t="s">
        <v>107</v>
      </c>
      <c r="D41" s="1122" t="s">
        <v>1271</v>
      </c>
      <c r="E41" s="273">
        <v>18</v>
      </c>
      <c r="F41" s="273">
        <v>24</v>
      </c>
      <c r="G41" s="273">
        <v>30</v>
      </c>
      <c r="H41" s="273">
        <v>34</v>
      </c>
      <c r="I41" s="273">
        <v>40</v>
      </c>
      <c r="J41" s="273">
        <v>46</v>
      </c>
      <c r="K41" s="273">
        <v>46</v>
      </c>
    </row>
    <row r="42" spans="1:11" ht="58.5" customHeight="1" x14ac:dyDescent="0.25">
      <c r="A42" s="1121"/>
      <c r="B42" s="276" t="s">
        <v>109</v>
      </c>
      <c r="C42" s="1122" t="s">
        <v>107</v>
      </c>
      <c r="D42" s="1122" t="s">
        <v>1271</v>
      </c>
      <c r="E42" s="273">
        <v>18</v>
      </c>
      <c r="F42" s="273">
        <v>15</v>
      </c>
      <c r="G42" s="273">
        <v>20</v>
      </c>
      <c r="H42" s="273">
        <v>25</v>
      </c>
      <c r="I42" s="273">
        <v>30</v>
      </c>
      <c r="J42" s="273">
        <v>35</v>
      </c>
      <c r="K42" s="273">
        <v>35</v>
      </c>
    </row>
    <row r="43" spans="1:11" ht="48" customHeight="1" x14ac:dyDescent="0.25">
      <c r="A43" s="1121"/>
      <c r="B43" s="1123" t="s">
        <v>1288</v>
      </c>
      <c r="C43" s="1122" t="s">
        <v>107</v>
      </c>
      <c r="D43" s="1122" t="s">
        <v>1271</v>
      </c>
      <c r="E43" s="273">
        <v>49</v>
      </c>
      <c r="F43" s="273">
        <v>57</v>
      </c>
      <c r="G43" s="273">
        <v>67</v>
      </c>
      <c r="H43" s="273">
        <v>77</v>
      </c>
      <c r="I43" s="273">
        <v>89</v>
      </c>
      <c r="J43" s="273">
        <v>100</v>
      </c>
      <c r="K43" s="273">
        <v>100</v>
      </c>
    </row>
    <row r="44" spans="1:11" ht="60" customHeight="1" x14ac:dyDescent="0.25">
      <c r="A44" s="1121"/>
      <c r="B44" s="1123" t="s">
        <v>1289</v>
      </c>
      <c r="C44" s="1122" t="s">
        <v>107</v>
      </c>
      <c r="D44" s="1122" t="s">
        <v>1271</v>
      </c>
      <c r="E44" s="273">
        <v>54</v>
      </c>
      <c r="F44" s="273">
        <v>64</v>
      </c>
      <c r="G44" s="273">
        <v>68</v>
      </c>
      <c r="H44" s="273">
        <v>78</v>
      </c>
      <c r="I44" s="273">
        <v>86</v>
      </c>
      <c r="J44" s="273">
        <v>97</v>
      </c>
      <c r="K44" s="273">
        <v>97</v>
      </c>
    </row>
    <row r="45" spans="1:11" ht="58.5" customHeight="1" x14ac:dyDescent="0.25">
      <c r="A45" s="1121"/>
      <c r="B45" s="1123" t="s">
        <v>1290</v>
      </c>
      <c r="C45" s="1122" t="s">
        <v>107</v>
      </c>
      <c r="D45" s="1122" t="s">
        <v>1271</v>
      </c>
      <c r="E45" s="1124">
        <v>25</v>
      </c>
      <c r="F45" s="1124">
        <v>35</v>
      </c>
      <c r="G45" s="1124">
        <v>40</v>
      </c>
      <c r="H45" s="273">
        <v>51</v>
      </c>
      <c r="I45" s="273">
        <v>65</v>
      </c>
      <c r="J45" s="273">
        <v>88</v>
      </c>
      <c r="K45" s="273">
        <v>88</v>
      </c>
    </row>
    <row r="46" spans="1:11" ht="59.25" customHeight="1" x14ac:dyDescent="0.25">
      <c r="A46" s="1121"/>
      <c r="B46" s="276" t="s">
        <v>118</v>
      </c>
      <c r="C46" s="1122" t="s">
        <v>107</v>
      </c>
      <c r="D46" s="1122" t="s">
        <v>1271</v>
      </c>
      <c r="E46" s="1124">
        <v>35</v>
      </c>
      <c r="F46" s="1124">
        <v>42</v>
      </c>
      <c r="G46" s="1124">
        <v>52</v>
      </c>
      <c r="H46" s="273">
        <v>62</v>
      </c>
      <c r="I46" s="273">
        <v>67</v>
      </c>
      <c r="J46" s="273">
        <v>79</v>
      </c>
      <c r="K46" s="273">
        <v>79</v>
      </c>
    </row>
    <row r="47" spans="1:11" ht="72.75" customHeight="1" x14ac:dyDescent="0.25">
      <c r="A47" s="1121"/>
      <c r="B47" s="1123" t="s">
        <v>1291</v>
      </c>
      <c r="C47" s="1122" t="s">
        <v>107</v>
      </c>
      <c r="D47" s="1122" t="s">
        <v>1271</v>
      </c>
      <c r="E47" s="273">
        <v>35</v>
      </c>
      <c r="F47" s="1124">
        <v>42</v>
      </c>
      <c r="G47" s="1124">
        <v>52</v>
      </c>
      <c r="H47" s="1124">
        <v>61</v>
      </c>
      <c r="I47" s="1124">
        <v>67</v>
      </c>
      <c r="J47" s="273">
        <v>71</v>
      </c>
      <c r="K47" s="273">
        <v>71</v>
      </c>
    </row>
    <row r="48" spans="1:11" ht="58.5" customHeight="1" x14ac:dyDescent="0.25">
      <c r="A48" s="1121"/>
      <c r="B48" s="1123" t="s">
        <v>1292</v>
      </c>
      <c r="C48" s="1122" t="s">
        <v>107</v>
      </c>
      <c r="D48" s="1122" t="s">
        <v>1271</v>
      </c>
      <c r="E48" s="273">
        <v>34</v>
      </c>
      <c r="F48" s="1124">
        <v>42</v>
      </c>
      <c r="G48" s="1124">
        <v>46</v>
      </c>
      <c r="H48" s="1124">
        <v>54</v>
      </c>
      <c r="I48" s="1124">
        <v>56</v>
      </c>
      <c r="J48" s="273">
        <v>66</v>
      </c>
      <c r="K48" s="273">
        <v>66</v>
      </c>
    </row>
    <row r="49" spans="1:11" ht="36.75" customHeight="1" x14ac:dyDescent="0.25">
      <c r="A49" s="123"/>
      <c r="B49" s="277" t="s">
        <v>124</v>
      </c>
      <c r="C49" s="275" t="s">
        <v>1293</v>
      </c>
      <c r="D49" s="277"/>
      <c r="E49" s="1119"/>
      <c r="F49" s="1119"/>
      <c r="G49" s="1119"/>
      <c r="H49" s="1119"/>
      <c r="I49" s="1119"/>
      <c r="J49" s="1119"/>
      <c r="K49" s="1119"/>
    </row>
    <row r="50" spans="1:11" ht="25.5" customHeight="1" x14ac:dyDescent="0.25">
      <c r="A50" s="1101" t="s">
        <v>126</v>
      </c>
      <c r="B50" s="1539" t="s">
        <v>127</v>
      </c>
      <c r="C50" s="1540"/>
      <c r="D50" s="1540"/>
      <c r="E50" s="1540"/>
      <c r="F50" s="1540"/>
      <c r="G50" s="1540"/>
      <c r="H50" s="1540"/>
      <c r="I50" s="1540"/>
      <c r="J50" s="1540"/>
      <c r="K50" s="1541"/>
    </row>
    <row r="51" spans="1:11" ht="89.25" x14ac:dyDescent="0.25">
      <c r="A51" s="1101"/>
      <c r="B51" s="1086" t="s">
        <v>130</v>
      </c>
      <c r="C51" s="275" t="s">
        <v>1293</v>
      </c>
      <c r="D51" s="1125"/>
      <c r="E51" s="1125"/>
      <c r="F51" s="1125"/>
      <c r="G51" s="1125"/>
      <c r="H51" s="1125"/>
      <c r="I51" s="1125"/>
      <c r="J51" s="1125"/>
      <c r="K51" s="1125"/>
    </row>
    <row r="52" spans="1:11" ht="96.75" customHeight="1" x14ac:dyDescent="0.25">
      <c r="A52" s="123"/>
      <c r="B52" s="271" t="s">
        <v>133</v>
      </c>
      <c r="C52" s="275" t="s">
        <v>1293</v>
      </c>
      <c r="D52" s="1126"/>
      <c r="E52" s="1119"/>
      <c r="F52" s="1119"/>
      <c r="G52" s="1119"/>
      <c r="H52" s="1119"/>
      <c r="I52" s="1119"/>
      <c r="J52" s="1119"/>
      <c r="K52" s="1119"/>
    </row>
    <row r="53" spans="1:11" ht="84.75" customHeight="1" x14ac:dyDescent="0.25">
      <c r="A53" s="123"/>
      <c r="B53" s="271" t="s">
        <v>136</v>
      </c>
      <c r="C53" s="275" t="s">
        <v>1294</v>
      </c>
      <c r="D53" s="1126"/>
      <c r="E53" s="1119"/>
      <c r="F53" s="1119"/>
      <c r="G53" s="1119"/>
      <c r="H53" s="1119"/>
      <c r="I53" s="1119"/>
      <c r="J53" s="1119"/>
      <c r="K53" s="1119"/>
    </row>
    <row r="54" spans="1:11" ht="20.25" customHeight="1" x14ac:dyDescent="0.25">
      <c r="A54" s="1101" t="s">
        <v>137</v>
      </c>
      <c r="B54" s="1539" t="s">
        <v>138</v>
      </c>
      <c r="C54" s="1540"/>
      <c r="D54" s="1540"/>
      <c r="E54" s="1540"/>
      <c r="F54" s="1540"/>
      <c r="G54" s="1540"/>
      <c r="H54" s="1540"/>
      <c r="I54" s="1540"/>
      <c r="J54" s="1540"/>
      <c r="K54" s="1541"/>
    </row>
    <row r="55" spans="1:11" ht="72" customHeight="1" x14ac:dyDescent="0.25">
      <c r="A55" s="280"/>
      <c r="B55" s="1081" t="s">
        <v>141</v>
      </c>
      <c r="C55" s="272" t="s">
        <v>1793</v>
      </c>
      <c r="D55" s="1122" t="s">
        <v>1271</v>
      </c>
      <c r="E55" s="1127">
        <v>0</v>
      </c>
      <c r="F55" s="1127">
        <v>0</v>
      </c>
      <c r="G55" s="1127">
        <v>0</v>
      </c>
      <c r="H55" s="1127">
        <v>0</v>
      </c>
      <c r="I55" s="1127">
        <v>0</v>
      </c>
      <c r="J55" s="1127">
        <v>0</v>
      </c>
      <c r="K55" s="1127">
        <v>0</v>
      </c>
    </row>
    <row r="56" spans="1:11" ht="114.75" x14ac:dyDescent="0.25">
      <c r="A56" s="280"/>
      <c r="B56" s="1083" t="s">
        <v>145</v>
      </c>
      <c r="C56" s="272" t="s">
        <v>1793</v>
      </c>
      <c r="D56" s="1122" t="s">
        <v>1271</v>
      </c>
      <c r="E56" s="1127">
        <v>0</v>
      </c>
      <c r="F56" s="1127">
        <v>0</v>
      </c>
      <c r="G56" s="1127">
        <v>0</v>
      </c>
      <c r="H56" s="1127">
        <v>0</v>
      </c>
      <c r="I56" s="1127">
        <v>0</v>
      </c>
      <c r="J56" s="1127">
        <v>0</v>
      </c>
      <c r="K56" s="1128">
        <v>0</v>
      </c>
    </row>
    <row r="57" spans="1:11" ht="70.5" customHeight="1" x14ac:dyDescent="0.25">
      <c r="A57" s="280"/>
      <c r="B57" s="1083" t="s">
        <v>146</v>
      </c>
      <c r="C57" s="272" t="s">
        <v>1793</v>
      </c>
      <c r="D57" s="1122" t="s">
        <v>1271</v>
      </c>
      <c r="E57" s="1127">
        <v>0</v>
      </c>
      <c r="F57" s="1127">
        <v>8</v>
      </c>
      <c r="G57" s="1127">
        <v>16</v>
      </c>
      <c r="H57" s="1127">
        <v>24</v>
      </c>
      <c r="I57" s="1127">
        <v>32</v>
      </c>
      <c r="J57" s="1127">
        <v>40</v>
      </c>
      <c r="K57" s="1127">
        <v>45</v>
      </c>
    </row>
    <row r="58" spans="1:11" ht="72" customHeight="1" x14ac:dyDescent="0.25">
      <c r="A58" s="280"/>
      <c r="B58" s="278" t="s">
        <v>148</v>
      </c>
      <c r="C58" s="272" t="s">
        <v>1793</v>
      </c>
      <c r="D58" s="1122" t="s">
        <v>1271</v>
      </c>
      <c r="E58" s="1128">
        <v>25</v>
      </c>
      <c r="F58" s="1128">
        <v>50</v>
      </c>
      <c r="G58" s="1128">
        <v>50</v>
      </c>
      <c r="H58" s="1128">
        <v>0</v>
      </c>
      <c r="I58" s="1128">
        <v>0</v>
      </c>
      <c r="J58" s="1128">
        <v>0</v>
      </c>
      <c r="K58" s="1128">
        <v>50</v>
      </c>
    </row>
    <row r="59" spans="1:11" ht="84.75" customHeight="1" x14ac:dyDescent="0.25">
      <c r="A59" s="280"/>
      <c r="B59" s="1083" t="s">
        <v>149</v>
      </c>
      <c r="C59" s="272" t="s">
        <v>1793</v>
      </c>
      <c r="D59" s="1122" t="s">
        <v>1271</v>
      </c>
      <c r="E59" s="1128">
        <v>25</v>
      </c>
      <c r="F59" s="1128">
        <v>25</v>
      </c>
      <c r="G59" s="1128">
        <v>50</v>
      </c>
      <c r="H59" s="1129" t="s">
        <v>217</v>
      </c>
      <c r="I59" s="1129" t="s">
        <v>217</v>
      </c>
      <c r="J59" s="1129">
        <v>50</v>
      </c>
      <c r="K59" s="1128">
        <v>50</v>
      </c>
    </row>
    <row r="60" spans="1:11" ht="85.5" customHeight="1" x14ac:dyDescent="0.25">
      <c r="A60" s="280"/>
      <c r="B60" s="1083" t="s">
        <v>151</v>
      </c>
      <c r="C60" s="272" t="s">
        <v>1793</v>
      </c>
      <c r="D60" s="1122" t="s">
        <v>1271</v>
      </c>
      <c r="E60" s="1128">
        <v>25</v>
      </c>
      <c r="F60" s="1128">
        <v>25</v>
      </c>
      <c r="G60" s="1128">
        <v>50</v>
      </c>
      <c r="H60" s="1128" t="s">
        <v>217</v>
      </c>
      <c r="I60" s="1128" t="s">
        <v>217</v>
      </c>
      <c r="J60" s="1128">
        <v>50</v>
      </c>
      <c r="K60" s="1127">
        <v>94</v>
      </c>
    </row>
    <row r="61" spans="1:11" ht="63.75" x14ac:dyDescent="0.25">
      <c r="A61" s="280"/>
      <c r="B61" s="278" t="s">
        <v>153</v>
      </c>
      <c r="C61" s="272" t="s">
        <v>1793</v>
      </c>
      <c r="D61" s="279" t="s">
        <v>1295</v>
      </c>
      <c r="E61" s="280">
        <v>0</v>
      </c>
      <c r="F61" s="280">
        <f ca="1">-F61</f>
        <v>0</v>
      </c>
      <c r="G61" s="280">
        <v>0</v>
      </c>
      <c r="H61" s="280">
        <v>2</v>
      </c>
      <c r="I61" s="280">
        <v>2</v>
      </c>
      <c r="J61" s="280">
        <v>2</v>
      </c>
      <c r="K61" s="280">
        <v>6</v>
      </c>
    </row>
    <row r="62" spans="1:11" ht="43.5" customHeight="1" x14ac:dyDescent="0.25">
      <c r="A62" s="280"/>
      <c r="B62" s="1083" t="s">
        <v>155</v>
      </c>
      <c r="C62" s="272" t="s">
        <v>1793</v>
      </c>
      <c r="D62" s="280" t="s">
        <v>1296</v>
      </c>
      <c r="E62" s="280">
        <v>4</v>
      </c>
      <c r="F62" s="280">
        <v>4</v>
      </c>
      <c r="G62" s="280">
        <v>4</v>
      </c>
      <c r="H62" s="280">
        <v>4</v>
      </c>
      <c r="I62" s="280">
        <v>4</v>
      </c>
      <c r="J62" s="280">
        <v>4</v>
      </c>
      <c r="K62" s="280">
        <v>4</v>
      </c>
    </row>
    <row r="63" spans="1:11" ht="97.5" customHeight="1" x14ac:dyDescent="0.25">
      <c r="A63" s="280"/>
      <c r="B63" s="1083" t="s">
        <v>158</v>
      </c>
      <c r="C63" s="272" t="s">
        <v>1793</v>
      </c>
      <c r="D63" s="280" t="s">
        <v>1295</v>
      </c>
      <c r="E63" s="280">
        <v>3</v>
      </c>
      <c r="F63" s="280">
        <v>1</v>
      </c>
      <c r="G63" s="280">
        <v>0</v>
      </c>
      <c r="H63" s="280">
        <v>0</v>
      </c>
      <c r="I63" s="280">
        <v>0</v>
      </c>
      <c r="J63" s="280">
        <v>0</v>
      </c>
      <c r="K63" s="280">
        <v>4</v>
      </c>
    </row>
    <row r="64" spans="1:11" ht="72.75" customHeight="1" x14ac:dyDescent="0.25">
      <c r="A64" s="280"/>
      <c r="B64" s="135" t="s">
        <v>161</v>
      </c>
      <c r="C64" s="272" t="s">
        <v>1793</v>
      </c>
      <c r="D64" s="280" t="s">
        <v>1295</v>
      </c>
      <c r="E64" s="280">
        <v>0</v>
      </c>
      <c r="F64" s="280">
        <v>0</v>
      </c>
      <c r="G64" s="280">
        <v>0</v>
      </c>
      <c r="H64" s="280">
        <v>2</v>
      </c>
      <c r="I64" s="280">
        <v>2</v>
      </c>
      <c r="J64" s="280">
        <v>0</v>
      </c>
      <c r="K64" s="280">
        <v>4</v>
      </c>
    </row>
    <row r="65" spans="1:11" ht="89.25" x14ac:dyDescent="0.25">
      <c r="A65" s="280"/>
      <c r="B65" s="135" t="s">
        <v>162</v>
      </c>
      <c r="C65" s="272" t="s">
        <v>1793</v>
      </c>
      <c r="D65" s="279" t="s">
        <v>1295</v>
      </c>
      <c r="E65" s="280">
        <v>0</v>
      </c>
      <c r="F65" s="280">
        <v>0</v>
      </c>
      <c r="G65" s="280">
        <v>2</v>
      </c>
      <c r="H65" s="280">
        <v>2</v>
      </c>
      <c r="I65" s="280">
        <v>0</v>
      </c>
      <c r="J65" s="280">
        <v>0</v>
      </c>
      <c r="K65" s="280">
        <v>4</v>
      </c>
    </row>
    <row r="66" spans="1:11" ht="60.75" customHeight="1" x14ac:dyDescent="0.25">
      <c r="A66" s="280"/>
      <c r="B66" s="135" t="s">
        <v>163</v>
      </c>
      <c r="C66" s="272" t="s">
        <v>1793</v>
      </c>
      <c r="D66" s="280" t="s">
        <v>1297</v>
      </c>
      <c r="E66" s="280">
        <v>0</v>
      </c>
      <c r="F66" s="280">
        <v>0</v>
      </c>
      <c r="G66" s="280">
        <v>0</v>
      </c>
      <c r="H66" s="280">
        <v>0</v>
      </c>
      <c r="I66" s="280">
        <v>0</v>
      </c>
      <c r="J66" s="280">
        <v>0</v>
      </c>
      <c r="K66" s="291">
        <v>0</v>
      </c>
    </row>
    <row r="67" spans="1:11" ht="24.75" customHeight="1" x14ac:dyDescent="0.25">
      <c r="A67" s="1101" t="s">
        <v>164</v>
      </c>
      <c r="B67" s="1539" t="s">
        <v>165</v>
      </c>
      <c r="C67" s="1540"/>
      <c r="D67" s="1540"/>
      <c r="E67" s="1540"/>
      <c r="F67" s="1540"/>
      <c r="G67" s="1540"/>
      <c r="H67" s="1540"/>
      <c r="I67" s="1540"/>
      <c r="J67" s="1540"/>
      <c r="K67" s="1541"/>
    </row>
    <row r="68" spans="1:11" ht="60" customHeight="1" x14ac:dyDescent="0.25">
      <c r="A68" s="280"/>
      <c r="B68" s="1083" t="s">
        <v>168</v>
      </c>
      <c r="C68" s="272" t="s">
        <v>1793</v>
      </c>
      <c r="D68" s="280" t="s">
        <v>1298</v>
      </c>
      <c r="E68" s="280">
        <v>0</v>
      </c>
      <c r="F68" s="280">
        <v>1</v>
      </c>
      <c r="G68" s="280">
        <v>0</v>
      </c>
      <c r="H68" s="280">
        <v>0</v>
      </c>
      <c r="I68" s="280">
        <v>0</v>
      </c>
      <c r="J68" s="280">
        <v>1</v>
      </c>
      <c r="K68" s="280">
        <v>1</v>
      </c>
    </row>
    <row r="69" spans="1:11" ht="70.5" customHeight="1" x14ac:dyDescent="0.25">
      <c r="A69" s="280"/>
      <c r="B69" s="1083" t="s">
        <v>171</v>
      </c>
      <c r="C69" s="272" t="s">
        <v>1793</v>
      </c>
      <c r="D69" s="280" t="s">
        <v>1299</v>
      </c>
      <c r="E69" s="280">
        <v>1</v>
      </c>
      <c r="F69" s="280">
        <v>1</v>
      </c>
      <c r="G69" s="280">
        <v>1</v>
      </c>
      <c r="H69" s="280">
        <v>1</v>
      </c>
      <c r="I69" s="280">
        <v>1</v>
      </c>
      <c r="J69" s="280">
        <v>1</v>
      </c>
      <c r="K69" s="1130">
        <v>1</v>
      </c>
    </row>
    <row r="70" spans="1:11" ht="60" customHeight="1" x14ac:dyDescent="0.25">
      <c r="A70" s="280"/>
      <c r="B70" s="1083" t="s">
        <v>176</v>
      </c>
      <c r="C70" s="272" t="s">
        <v>1793</v>
      </c>
      <c r="D70" s="280" t="s">
        <v>1300</v>
      </c>
      <c r="E70" s="280">
        <v>0</v>
      </c>
      <c r="F70" s="280">
        <v>0</v>
      </c>
      <c r="G70" s="280">
        <v>0</v>
      </c>
      <c r="H70" s="280">
        <v>0</v>
      </c>
      <c r="I70" s="280">
        <v>0</v>
      </c>
      <c r="J70" s="280">
        <v>0</v>
      </c>
      <c r="K70" s="291">
        <v>0</v>
      </c>
    </row>
    <row r="71" spans="1:11" ht="85.5" customHeight="1" x14ac:dyDescent="0.25">
      <c r="A71" s="280"/>
      <c r="B71" s="1083" t="s">
        <v>178</v>
      </c>
      <c r="C71" s="272" t="s">
        <v>1793</v>
      </c>
      <c r="D71" s="280" t="s">
        <v>1300</v>
      </c>
      <c r="E71" s="280">
        <v>0</v>
      </c>
      <c r="F71" s="280">
        <v>0</v>
      </c>
      <c r="G71" s="280">
        <v>0</v>
      </c>
      <c r="H71" s="280">
        <v>0</v>
      </c>
      <c r="I71" s="280">
        <v>0</v>
      </c>
      <c r="J71" s="280">
        <v>0</v>
      </c>
      <c r="K71" s="291">
        <v>0</v>
      </c>
    </row>
    <row r="72" spans="1:11" ht="84" customHeight="1" x14ac:dyDescent="0.25">
      <c r="A72" s="280"/>
      <c r="B72" s="1083" t="s">
        <v>180</v>
      </c>
      <c r="C72" s="272" t="s">
        <v>1793</v>
      </c>
      <c r="D72" s="280" t="s">
        <v>1301</v>
      </c>
      <c r="E72" s="280" t="s">
        <v>181</v>
      </c>
      <c r="F72" s="280" t="s">
        <v>181</v>
      </c>
      <c r="G72" s="280" t="s">
        <v>181</v>
      </c>
      <c r="H72" s="280" t="s">
        <v>181</v>
      </c>
      <c r="I72" s="280" t="s">
        <v>181</v>
      </c>
      <c r="J72" s="280" t="s">
        <v>181</v>
      </c>
      <c r="K72" s="280" t="s">
        <v>182</v>
      </c>
    </row>
    <row r="73" spans="1:11" ht="60.75" customHeight="1" x14ac:dyDescent="0.25">
      <c r="A73" s="280"/>
      <c r="B73" s="1083" t="s">
        <v>183</v>
      </c>
      <c r="C73" s="272" t="s">
        <v>1793</v>
      </c>
      <c r="D73" s="280" t="s">
        <v>1302</v>
      </c>
      <c r="E73" s="280" t="s">
        <v>184</v>
      </c>
      <c r="F73" s="280" t="s">
        <v>1303</v>
      </c>
      <c r="G73" s="280" t="s">
        <v>1303</v>
      </c>
      <c r="H73" s="280" t="s">
        <v>1303</v>
      </c>
      <c r="I73" s="280" t="s">
        <v>1303</v>
      </c>
      <c r="J73" s="280" t="s">
        <v>185</v>
      </c>
      <c r="K73" s="280" t="s">
        <v>185</v>
      </c>
    </row>
    <row r="74" spans="1:11" ht="45.75" customHeight="1" x14ac:dyDescent="0.25">
      <c r="A74" s="280"/>
      <c r="B74" s="1083" t="s">
        <v>186</v>
      </c>
      <c r="C74" s="272" t="s">
        <v>1793</v>
      </c>
      <c r="D74" s="280" t="s">
        <v>1304</v>
      </c>
      <c r="E74" s="280">
        <v>0</v>
      </c>
      <c r="F74" s="280">
        <v>1</v>
      </c>
      <c r="G74" s="280">
        <v>0</v>
      </c>
      <c r="H74" s="280">
        <v>0</v>
      </c>
      <c r="I74" s="280">
        <v>0</v>
      </c>
      <c r="J74" s="280">
        <v>0</v>
      </c>
      <c r="K74" s="291">
        <v>1</v>
      </c>
    </row>
    <row r="75" spans="1:11" ht="32.25" customHeight="1" x14ac:dyDescent="0.25">
      <c r="A75" s="280"/>
      <c r="B75" s="1083" t="s">
        <v>189</v>
      </c>
      <c r="C75" s="272" t="s">
        <v>1793</v>
      </c>
      <c r="D75" s="280" t="s">
        <v>1305</v>
      </c>
      <c r="E75" s="280">
        <v>1</v>
      </c>
      <c r="F75" s="280">
        <v>1</v>
      </c>
      <c r="G75" s="280">
        <v>0</v>
      </c>
      <c r="H75" s="280">
        <v>0</v>
      </c>
      <c r="I75" s="280">
        <v>0</v>
      </c>
      <c r="J75" s="280">
        <v>2</v>
      </c>
      <c r="K75" s="291">
        <v>2</v>
      </c>
    </row>
    <row r="76" spans="1:11" ht="31.5" customHeight="1" x14ac:dyDescent="0.25">
      <c r="A76" s="25"/>
      <c r="B76" s="1086" t="s">
        <v>191</v>
      </c>
      <c r="C76" s="272" t="s">
        <v>1306</v>
      </c>
      <c r="D76" s="25" t="s">
        <v>1086</v>
      </c>
      <c r="E76" s="280" t="s">
        <v>1086</v>
      </c>
      <c r="F76" s="280" t="s">
        <v>1086</v>
      </c>
      <c r="G76" s="280" t="s">
        <v>1086</v>
      </c>
      <c r="H76" s="280" t="s">
        <v>1805</v>
      </c>
      <c r="I76" s="280" t="s">
        <v>1805</v>
      </c>
      <c r="J76" s="280" t="s">
        <v>1805</v>
      </c>
      <c r="K76" s="280" t="s">
        <v>1805</v>
      </c>
    </row>
    <row r="77" spans="1:11" ht="23.25" customHeight="1" x14ac:dyDescent="0.25">
      <c r="A77" s="1101" t="s">
        <v>193</v>
      </c>
      <c r="B77" s="1539" t="s">
        <v>1307</v>
      </c>
      <c r="C77" s="1540"/>
      <c r="D77" s="1540"/>
      <c r="E77" s="1540"/>
      <c r="F77" s="1540"/>
      <c r="G77" s="1540"/>
      <c r="H77" s="1540"/>
      <c r="I77" s="1540"/>
      <c r="J77" s="1540"/>
      <c r="K77" s="1541"/>
    </row>
    <row r="78" spans="1:11" ht="24" customHeight="1" x14ac:dyDescent="0.25">
      <c r="A78" s="1101" t="s">
        <v>195</v>
      </c>
      <c r="B78" s="1539" t="s">
        <v>196</v>
      </c>
      <c r="C78" s="1540"/>
      <c r="D78" s="1540"/>
      <c r="E78" s="1540"/>
      <c r="F78" s="1540"/>
      <c r="G78" s="1540"/>
      <c r="H78" s="1540"/>
      <c r="I78" s="1540"/>
      <c r="J78" s="1540"/>
      <c r="K78" s="1541"/>
    </row>
    <row r="79" spans="1:11" ht="31.5" customHeight="1" x14ac:dyDescent="0.25">
      <c r="A79" s="1117"/>
      <c r="B79" s="41" t="s">
        <v>1308</v>
      </c>
      <c r="C79" s="272" t="s">
        <v>200</v>
      </c>
      <c r="D79" s="1131"/>
      <c r="E79" s="1132"/>
      <c r="F79" s="1133"/>
      <c r="G79" s="1133"/>
      <c r="H79" s="1133"/>
      <c r="I79" s="1133"/>
      <c r="J79" s="1133"/>
      <c r="K79" s="1133"/>
    </row>
    <row r="80" spans="1:11" ht="30" customHeight="1" x14ac:dyDescent="0.25">
      <c r="A80" s="123"/>
      <c r="B80" s="41" t="s">
        <v>203</v>
      </c>
      <c r="C80" s="272" t="s">
        <v>39</v>
      </c>
      <c r="D80" s="272" t="s">
        <v>1271</v>
      </c>
      <c r="E80" s="1109">
        <v>85</v>
      </c>
      <c r="F80" s="1109">
        <v>86</v>
      </c>
      <c r="G80" s="1109">
        <v>87</v>
      </c>
      <c r="H80" s="1109">
        <v>88</v>
      </c>
      <c r="I80" s="1109">
        <v>89</v>
      </c>
      <c r="J80" s="1109">
        <v>90</v>
      </c>
      <c r="K80" s="1109">
        <v>90</v>
      </c>
    </row>
    <row r="81" spans="1:11" ht="45.75" customHeight="1" x14ac:dyDescent="0.25">
      <c r="A81" s="1117"/>
      <c r="B81" s="1134" t="s">
        <v>208</v>
      </c>
      <c r="C81" s="272" t="s">
        <v>200</v>
      </c>
      <c r="D81" s="1135" t="s">
        <v>1286</v>
      </c>
      <c r="E81" s="1117">
        <v>683</v>
      </c>
      <c r="F81" s="1117" t="s">
        <v>217</v>
      </c>
      <c r="G81" s="272">
        <v>2</v>
      </c>
      <c r="H81" s="272">
        <v>4</v>
      </c>
      <c r="I81" s="272">
        <v>6</v>
      </c>
      <c r="J81" s="272">
        <v>8</v>
      </c>
      <c r="K81" s="272">
        <v>703</v>
      </c>
    </row>
    <row r="82" spans="1:11" ht="38.25" x14ac:dyDescent="0.25">
      <c r="A82" s="1117"/>
      <c r="B82" s="1134" t="s">
        <v>216</v>
      </c>
      <c r="C82" s="272" t="s">
        <v>200</v>
      </c>
      <c r="D82" s="1135" t="s">
        <v>1286</v>
      </c>
      <c r="E82" s="1136" t="s">
        <v>217</v>
      </c>
      <c r="F82" s="1117" t="s">
        <v>217</v>
      </c>
      <c r="G82" s="1117">
        <v>5</v>
      </c>
      <c r="H82" s="1117">
        <v>6</v>
      </c>
      <c r="I82" s="1117">
        <v>7</v>
      </c>
      <c r="J82" s="1117">
        <v>8</v>
      </c>
      <c r="K82" s="1117">
        <v>26</v>
      </c>
    </row>
    <row r="83" spans="1:11" x14ac:dyDescent="0.25">
      <c r="A83" s="1522"/>
      <c r="B83" s="1137" t="s">
        <v>222</v>
      </c>
      <c r="C83" s="1578"/>
      <c r="D83" s="1579"/>
      <c r="E83" s="1579"/>
      <c r="F83" s="1579"/>
      <c r="G83" s="1579"/>
      <c r="H83" s="1579"/>
      <c r="I83" s="1579"/>
      <c r="J83" s="1579"/>
      <c r="K83" s="1580"/>
    </row>
    <row r="84" spans="1:11" ht="25.5" x14ac:dyDescent="0.25">
      <c r="A84" s="1523"/>
      <c r="B84" s="1137" t="s">
        <v>223</v>
      </c>
      <c r="C84" s="272" t="s">
        <v>39</v>
      </c>
      <c r="D84" s="1135" t="s">
        <v>1286</v>
      </c>
      <c r="E84" s="1117" t="s">
        <v>1794</v>
      </c>
      <c r="F84" s="1117" t="s">
        <v>1794</v>
      </c>
      <c r="G84" s="1117" t="s">
        <v>1794</v>
      </c>
      <c r="H84" s="1117" t="s">
        <v>1794</v>
      </c>
      <c r="I84" s="1117" t="s">
        <v>1794</v>
      </c>
      <c r="J84" s="1117" t="s">
        <v>1794</v>
      </c>
      <c r="K84" s="1117" t="s">
        <v>1794</v>
      </c>
    </row>
    <row r="85" spans="1:11" ht="25.5" x14ac:dyDescent="0.25">
      <c r="A85" s="1523"/>
      <c r="B85" s="1137" t="s">
        <v>224</v>
      </c>
      <c r="C85" s="272" t="s">
        <v>39</v>
      </c>
      <c r="D85" s="1135" t="s">
        <v>1286</v>
      </c>
      <c r="E85" s="1117">
        <v>0</v>
      </c>
      <c r="F85" s="1117" t="s">
        <v>1795</v>
      </c>
      <c r="G85" s="1117" t="s">
        <v>1795</v>
      </c>
      <c r="H85" s="1117" t="s">
        <v>1795</v>
      </c>
      <c r="I85" s="1117" t="s">
        <v>1795</v>
      </c>
      <c r="J85" s="1117" t="s">
        <v>1795</v>
      </c>
      <c r="K85" s="1117" t="s">
        <v>1796</v>
      </c>
    </row>
    <row r="86" spans="1:11" ht="25.5" x14ac:dyDescent="0.25">
      <c r="A86" s="1523"/>
      <c r="B86" s="1137" t="s">
        <v>225</v>
      </c>
      <c r="C86" s="272" t="s">
        <v>39</v>
      </c>
      <c r="D86" s="1135" t="s">
        <v>1286</v>
      </c>
      <c r="E86" s="1117">
        <v>0</v>
      </c>
      <c r="F86" s="1117" t="s">
        <v>1797</v>
      </c>
      <c r="G86" s="1117" t="s">
        <v>1797</v>
      </c>
      <c r="H86" s="1117" t="s">
        <v>1797</v>
      </c>
      <c r="I86" s="1117" t="s">
        <v>1797</v>
      </c>
      <c r="J86" s="1117" t="s">
        <v>1797</v>
      </c>
      <c r="K86" s="1117" t="s">
        <v>1499</v>
      </c>
    </row>
    <row r="87" spans="1:11" ht="25.5" x14ac:dyDescent="0.25">
      <c r="A87" s="1524"/>
      <c r="B87" s="1137" t="s">
        <v>226</v>
      </c>
      <c r="C87" s="272" t="s">
        <v>39</v>
      </c>
      <c r="D87" s="1135" t="s">
        <v>1286</v>
      </c>
      <c r="E87" s="1117">
        <v>0</v>
      </c>
      <c r="F87" s="1117" t="s">
        <v>1798</v>
      </c>
      <c r="G87" s="1117" t="s">
        <v>1798</v>
      </c>
      <c r="H87" s="1117" t="s">
        <v>1798</v>
      </c>
      <c r="I87" s="1117" t="s">
        <v>1798</v>
      </c>
      <c r="J87" s="1117" t="s">
        <v>1798</v>
      </c>
      <c r="K87" s="1117" t="s">
        <v>1798</v>
      </c>
    </row>
    <row r="88" spans="1:11" ht="38.25" x14ac:dyDescent="0.25">
      <c r="A88" s="1522"/>
      <c r="B88" s="358" t="s">
        <v>227</v>
      </c>
      <c r="C88" s="1575"/>
      <c r="D88" s="1576"/>
      <c r="E88" s="1576"/>
      <c r="F88" s="1576"/>
      <c r="G88" s="1576"/>
      <c r="H88" s="1576"/>
      <c r="I88" s="1576"/>
      <c r="J88" s="1576"/>
      <c r="K88" s="1577"/>
    </row>
    <row r="89" spans="1:11" x14ac:dyDescent="0.25">
      <c r="A89" s="1523"/>
      <c r="B89" s="1134" t="s">
        <v>230</v>
      </c>
      <c r="C89" s="272" t="s">
        <v>200</v>
      </c>
      <c r="D89" s="1135" t="s">
        <v>1286</v>
      </c>
      <c r="E89" s="1138">
        <v>14091</v>
      </c>
      <c r="F89" s="1138">
        <v>1000</v>
      </c>
      <c r="G89" s="1139">
        <v>1000</v>
      </c>
      <c r="H89" s="1139">
        <v>1300</v>
      </c>
      <c r="I89" s="1139">
        <v>3000</v>
      </c>
      <c r="J89" s="1139">
        <v>1000</v>
      </c>
      <c r="K89" s="1140">
        <v>21391</v>
      </c>
    </row>
    <row r="90" spans="1:11" x14ac:dyDescent="0.25">
      <c r="A90" s="1523"/>
      <c r="B90" s="1134" t="s">
        <v>233</v>
      </c>
      <c r="C90" s="272" t="s">
        <v>200</v>
      </c>
      <c r="D90" s="1135" t="s">
        <v>1286</v>
      </c>
      <c r="E90" s="1117">
        <v>8.6679999999999993</v>
      </c>
      <c r="F90" s="1117">
        <v>0</v>
      </c>
      <c r="G90" s="272">
        <v>500</v>
      </c>
      <c r="H90" s="272">
        <v>750</v>
      </c>
      <c r="I90" s="272">
        <v>750</v>
      </c>
      <c r="J90" s="272">
        <v>1000</v>
      </c>
      <c r="K90" s="272">
        <v>11668</v>
      </c>
    </row>
    <row r="91" spans="1:11" x14ac:dyDescent="0.25">
      <c r="A91" s="1524"/>
      <c r="B91" s="1141" t="s">
        <v>236</v>
      </c>
      <c r="C91" s="272" t="s">
        <v>200</v>
      </c>
      <c r="D91" s="1135" t="s">
        <v>1286</v>
      </c>
      <c r="E91" s="1117" t="s">
        <v>217</v>
      </c>
      <c r="F91" s="1117" t="s">
        <v>217</v>
      </c>
      <c r="G91" s="272">
        <v>5</v>
      </c>
      <c r="H91" s="272">
        <v>10</v>
      </c>
      <c r="I91" s="272">
        <v>15</v>
      </c>
      <c r="J91" s="1142" t="s">
        <v>217</v>
      </c>
      <c r="K91" s="272">
        <v>30</v>
      </c>
    </row>
    <row r="92" spans="1:11" ht="25.5" x14ac:dyDescent="0.25">
      <c r="A92" s="1568"/>
      <c r="B92" s="41" t="s">
        <v>238</v>
      </c>
      <c r="C92" s="1569"/>
      <c r="D92" s="1570"/>
      <c r="E92" s="1570"/>
      <c r="F92" s="1570"/>
      <c r="G92" s="1570"/>
      <c r="H92" s="1570"/>
      <c r="I92" s="1570"/>
      <c r="J92" s="1570"/>
      <c r="K92" s="1571"/>
    </row>
    <row r="93" spans="1:11" ht="25.5" x14ac:dyDescent="0.25">
      <c r="A93" s="1568"/>
      <c r="B93" s="1143" t="s">
        <v>240</v>
      </c>
      <c r="C93" s="272" t="s">
        <v>39</v>
      </c>
      <c r="D93" s="25" t="s">
        <v>1309</v>
      </c>
      <c r="E93" s="1144">
        <v>400</v>
      </c>
      <c r="F93" s="1145">
        <v>416</v>
      </c>
      <c r="G93" s="1145">
        <v>432</v>
      </c>
      <c r="H93" s="1145">
        <v>448</v>
      </c>
      <c r="I93" s="1145">
        <v>464</v>
      </c>
      <c r="J93" s="1145">
        <v>480</v>
      </c>
      <c r="K93" s="123">
        <v>480</v>
      </c>
    </row>
    <row r="94" spans="1:11" ht="25.5" x14ac:dyDescent="0.25">
      <c r="A94" s="1568"/>
      <c r="B94" s="1143" t="s">
        <v>243</v>
      </c>
      <c r="C94" s="272" t="s">
        <v>39</v>
      </c>
      <c r="D94" s="1146" t="s">
        <v>1310</v>
      </c>
      <c r="E94" s="1147">
        <v>3830</v>
      </c>
      <c r="F94" s="1148">
        <v>3983</v>
      </c>
      <c r="G94" s="1148">
        <v>4136</v>
      </c>
      <c r="H94" s="1148">
        <v>4289</v>
      </c>
      <c r="I94" s="1148">
        <v>4442</v>
      </c>
      <c r="J94" s="1148">
        <v>4595</v>
      </c>
      <c r="K94" s="1148">
        <v>4595</v>
      </c>
    </row>
    <row r="95" spans="1:11" ht="38.25" x14ac:dyDescent="0.25">
      <c r="A95" s="1572"/>
      <c r="B95" s="1149" t="s">
        <v>246</v>
      </c>
      <c r="C95" s="1575"/>
      <c r="D95" s="1576"/>
      <c r="E95" s="1576"/>
      <c r="F95" s="1576"/>
      <c r="G95" s="1576"/>
      <c r="H95" s="1576"/>
      <c r="I95" s="1576"/>
      <c r="J95" s="1576"/>
      <c r="K95" s="1577"/>
    </row>
    <row r="96" spans="1:11" x14ac:dyDescent="0.25">
      <c r="A96" s="1573"/>
      <c r="B96" s="1149" t="s">
        <v>248</v>
      </c>
      <c r="C96" s="272" t="s">
        <v>200</v>
      </c>
      <c r="D96" s="1135" t="s">
        <v>1286</v>
      </c>
      <c r="E96" s="272">
        <v>20.263000000000002</v>
      </c>
      <c r="F96" s="272" t="s">
        <v>217</v>
      </c>
      <c r="G96" s="272">
        <v>10</v>
      </c>
      <c r="H96" s="272">
        <v>10</v>
      </c>
      <c r="I96" s="272">
        <v>10</v>
      </c>
      <c r="J96" s="272">
        <v>10</v>
      </c>
      <c r="K96" s="1150">
        <v>20303</v>
      </c>
    </row>
    <row r="97" spans="1:11" x14ac:dyDescent="0.25">
      <c r="A97" s="1573"/>
      <c r="B97" s="1141" t="s">
        <v>251</v>
      </c>
      <c r="C97" s="272" t="s">
        <v>200</v>
      </c>
      <c r="D97" s="1135" t="s">
        <v>1286</v>
      </c>
      <c r="E97" s="1117">
        <v>46.57</v>
      </c>
      <c r="F97" s="1117" t="s">
        <v>217</v>
      </c>
      <c r="G97" s="272">
        <v>20</v>
      </c>
      <c r="H97" s="272">
        <v>20</v>
      </c>
      <c r="I97" s="272">
        <v>20</v>
      </c>
      <c r="J97" s="272">
        <v>20</v>
      </c>
      <c r="K97" s="1150">
        <v>46650</v>
      </c>
    </row>
    <row r="98" spans="1:11" x14ac:dyDescent="0.25">
      <c r="A98" s="1574"/>
      <c r="B98" s="1141" t="s">
        <v>254</v>
      </c>
      <c r="C98" s="272" t="s">
        <v>200</v>
      </c>
      <c r="D98" s="1135" t="s">
        <v>1286</v>
      </c>
      <c r="E98" s="1117">
        <v>2.2970000000000002</v>
      </c>
      <c r="F98" s="1117" t="s">
        <v>217</v>
      </c>
      <c r="G98" s="272">
        <v>15</v>
      </c>
      <c r="H98" s="272">
        <v>15</v>
      </c>
      <c r="I98" s="1150" t="s">
        <v>217</v>
      </c>
      <c r="J98" s="1151" t="s">
        <v>217</v>
      </c>
      <c r="K98" s="1150">
        <v>2327</v>
      </c>
    </row>
    <row r="99" spans="1:11" x14ac:dyDescent="0.25">
      <c r="A99" s="1152"/>
      <c r="B99" s="1134" t="s">
        <v>213</v>
      </c>
      <c r="C99" s="272" t="s">
        <v>200</v>
      </c>
      <c r="D99" s="1153"/>
      <c r="E99" s="1154"/>
      <c r="F99" s="1154"/>
      <c r="G99" s="1154"/>
      <c r="H99" s="1154"/>
      <c r="I99" s="1154"/>
      <c r="J99" s="1154"/>
      <c r="K99" s="1154"/>
    </row>
    <row r="100" spans="1:11" x14ac:dyDescent="0.25">
      <c r="A100" s="1522"/>
      <c r="B100" s="358" t="s">
        <v>257</v>
      </c>
      <c r="C100" s="1569"/>
      <c r="D100" s="1570"/>
      <c r="E100" s="1570"/>
      <c r="F100" s="1570"/>
      <c r="G100" s="1570"/>
      <c r="H100" s="1570"/>
      <c r="I100" s="1570"/>
      <c r="J100" s="1570"/>
      <c r="K100" s="1571"/>
    </row>
    <row r="101" spans="1:11" x14ac:dyDescent="0.25">
      <c r="A101" s="1523"/>
      <c r="B101" s="1134" t="s">
        <v>259</v>
      </c>
      <c r="C101" s="272" t="s">
        <v>200</v>
      </c>
      <c r="D101" s="1155" t="s">
        <v>1311</v>
      </c>
      <c r="E101" s="1117">
        <v>4.4249999999999998</v>
      </c>
      <c r="F101" s="1117">
        <v>20</v>
      </c>
      <c r="G101" s="1117">
        <v>35</v>
      </c>
      <c r="H101" s="1117">
        <v>40</v>
      </c>
      <c r="I101" s="1117">
        <v>50</v>
      </c>
      <c r="J101" s="1136" t="s">
        <v>217</v>
      </c>
      <c r="K101" s="272">
        <v>4570</v>
      </c>
    </row>
    <row r="102" spans="1:11" x14ac:dyDescent="0.25">
      <c r="A102" s="1523"/>
      <c r="B102" s="1134" t="s">
        <v>260</v>
      </c>
      <c r="C102" s="272" t="s">
        <v>200</v>
      </c>
      <c r="D102" s="1155" t="s">
        <v>1311</v>
      </c>
      <c r="E102" s="1117">
        <v>5.2430000000000003</v>
      </c>
      <c r="F102" s="1117">
        <v>60</v>
      </c>
      <c r="G102" s="272">
        <v>75</v>
      </c>
      <c r="H102" s="1117">
        <v>80</v>
      </c>
      <c r="I102" s="272">
        <v>90</v>
      </c>
      <c r="J102" s="1117" t="s">
        <v>217</v>
      </c>
      <c r="K102" s="272">
        <v>5548</v>
      </c>
    </row>
    <row r="103" spans="1:11" x14ac:dyDescent="0.25">
      <c r="A103" s="1523"/>
      <c r="B103" s="1134" t="s">
        <v>261</v>
      </c>
      <c r="C103" s="272" t="s">
        <v>200</v>
      </c>
      <c r="D103" s="1155" t="s">
        <v>1311</v>
      </c>
      <c r="E103" s="1117">
        <v>93.304000000000002</v>
      </c>
      <c r="F103" s="1117" t="s">
        <v>217</v>
      </c>
      <c r="G103" s="272">
        <v>5000</v>
      </c>
      <c r="H103" s="1117" t="s">
        <v>217</v>
      </c>
      <c r="I103" s="272">
        <v>5000</v>
      </c>
      <c r="J103" s="1117"/>
      <c r="K103" s="272">
        <v>103304</v>
      </c>
    </row>
    <row r="104" spans="1:11" x14ac:dyDescent="0.25">
      <c r="A104" s="1524"/>
      <c r="B104" s="1141" t="s">
        <v>262</v>
      </c>
      <c r="C104" s="272" t="s">
        <v>200</v>
      </c>
      <c r="D104" s="1155" t="s">
        <v>1311</v>
      </c>
      <c r="E104" s="1117">
        <v>5000</v>
      </c>
      <c r="F104" s="1117" t="s">
        <v>217</v>
      </c>
      <c r="G104" s="1117" t="s">
        <v>217</v>
      </c>
      <c r="H104" s="1117">
        <v>5000</v>
      </c>
      <c r="I104" s="1117">
        <v>5000</v>
      </c>
      <c r="J104" s="1117" t="s">
        <v>217</v>
      </c>
      <c r="K104" s="272">
        <v>15000</v>
      </c>
    </row>
    <row r="105" spans="1:11" x14ac:dyDescent="0.25">
      <c r="A105" s="1156"/>
      <c r="B105" s="1157" t="s">
        <v>263</v>
      </c>
      <c r="C105" s="272" t="s">
        <v>200</v>
      </c>
      <c r="D105" s="1141"/>
      <c r="E105" s="1151"/>
      <c r="F105" s="1151"/>
      <c r="G105" s="1151"/>
      <c r="H105" s="1151"/>
      <c r="I105" s="1151"/>
      <c r="J105" s="1151"/>
      <c r="K105" s="1158"/>
    </row>
    <row r="106" spans="1:11" ht="38.25" x14ac:dyDescent="0.25">
      <c r="A106" s="1117"/>
      <c r="B106" s="1087" t="s">
        <v>264</v>
      </c>
      <c r="C106" s="272" t="s">
        <v>266</v>
      </c>
      <c r="D106" s="272"/>
      <c r="E106" s="1159"/>
      <c r="F106" s="1159"/>
      <c r="G106" s="1159"/>
      <c r="H106" s="1159"/>
      <c r="I106" s="1159"/>
      <c r="J106" s="1159"/>
      <c r="K106" s="1159"/>
    </row>
    <row r="107" spans="1:11" ht="30" customHeight="1" x14ac:dyDescent="0.25">
      <c r="A107" s="1160"/>
      <c r="B107" s="1081" t="s">
        <v>1312</v>
      </c>
      <c r="C107" s="272" t="s">
        <v>266</v>
      </c>
      <c r="D107" s="272" t="s">
        <v>1313</v>
      </c>
      <c r="E107" s="273">
        <v>51</v>
      </c>
      <c r="F107" s="273">
        <v>52</v>
      </c>
      <c r="G107" s="273">
        <v>53</v>
      </c>
      <c r="H107" s="273">
        <v>54</v>
      </c>
      <c r="I107" s="273">
        <v>55</v>
      </c>
      <c r="J107" s="273">
        <v>56</v>
      </c>
      <c r="K107" s="273">
        <v>57</v>
      </c>
    </row>
    <row r="108" spans="1:11" ht="30.75" customHeight="1" x14ac:dyDescent="0.25">
      <c r="A108" s="1160"/>
      <c r="B108" s="1081" t="s">
        <v>271</v>
      </c>
      <c r="C108" s="272" t="s">
        <v>266</v>
      </c>
      <c r="D108" s="25" t="s">
        <v>1271</v>
      </c>
      <c r="E108" s="273">
        <v>10</v>
      </c>
      <c r="F108" s="273">
        <v>20</v>
      </c>
      <c r="G108" s="273">
        <v>30</v>
      </c>
      <c r="H108" s="273">
        <v>40</v>
      </c>
      <c r="I108" s="273">
        <v>50</v>
      </c>
      <c r="J108" s="273">
        <v>60</v>
      </c>
      <c r="K108" s="273">
        <v>70</v>
      </c>
    </row>
    <row r="109" spans="1:11" ht="30.75" customHeight="1" x14ac:dyDescent="0.25">
      <c r="A109" s="1160"/>
      <c r="B109" s="1081" t="s">
        <v>1314</v>
      </c>
      <c r="C109" s="272" t="s">
        <v>266</v>
      </c>
      <c r="D109" s="25" t="s">
        <v>1271</v>
      </c>
      <c r="E109" s="273">
        <v>78</v>
      </c>
      <c r="F109" s="273">
        <v>79</v>
      </c>
      <c r="G109" s="273">
        <v>80</v>
      </c>
      <c r="H109" s="273">
        <v>81</v>
      </c>
      <c r="I109" s="273">
        <v>82</v>
      </c>
      <c r="J109" s="273">
        <v>83</v>
      </c>
      <c r="K109" s="273">
        <v>84</v>
      </c>
    </row>
    <row r="110" spans="1:11" ht="42.75" customHeight="1" x14ac:dyDescent="0.25">
      <c r="A110" s="1160"/>
      <c r="B110" s="1081" t="s">
        <v>1315</v>
      </c>
      <c r="C110" s="272" t="s">
        <v>266</v>
      </c>
      <c r="D110" s="25" t="s">
        <v>1271</v>
      </c>
      <c r="E110" s="273">
        <v>90</v>
      </c>
      <c r="F110" s="273">
        <v>91</v>
      </c>
      <c r="G110" s="273">
        <v>92</v>
      </c>
      <c r="H110" s="273">
        <v>93</v>
      </c>
      <c r="I110" s="273">
        <v>94</v>
      </c>
      <c r="J110" s="273">
        <v>95</v>
      </c>
      <c r="K110" s="273">
        <v>96</v>
      </c>
    </row>
    <row r="111" spans="1:11" ht="32.25" customHeight="1" x14ac:dyDescent="0.25">
      <c r="A111" s="1160"/>
      <c r="B111" s="1081" t="s">
        <v>277</v>
      </c>
      <c r="C111" s="272" t="s">
        <v>266</v>
      </c>
      <c r="D111" s="272" t="s">
        <v>1316</v>
      </c>
      <c r="E111" s="273">
        <v>1900</v>
      </c>
      <c r="F111" s="273">
        <v>1950</v>
      </c>
      <c r="G111" s="273">
        <v>2000</v>
      </c>
      <c r="H111" s="273">
        <v>2050</v>
      </c>
      <c r="I111" s="273">
        <v>2100</v>
      </c>
      <c r="J111" s="273">
        <v>2150</v>
      </c>
      <c r="K111" s="273">
        <v>2200</v>
      </c>
    </row>
    <row r="112" spans="1:11" ht="31.5" customHeight="1" x14ac:dyDescent="0.25">
      <c r="A112" s="1160"/>
      <c r="B112" s="1081" t="s">
        <v>1317</v>
      </c>
      <c r="C112" s="272" t="s">
        <v>266</v>
      </c>
      <c r="D112" s="25" t="s">
        <v>1271</v>
      </c>
      <c r="E112" s="273">
        <v>30</v>
      </c>
      <c r="F112" s="273">
        <v>40</v>
      </c>
      <c r="G112" s="273">
        <v>50</v>
      </c>
      <c r="H112" s="273">
        <v>60</v>
      </c>
      <c r="I112" s="273">
        <v>70</v>
      </c>
      <c r="J112" s="273">
        <v>90</v>
      </c>
      <c r="K112" s="273">
        <v>100</v>
      </c>
    </row>
    <row r="113" spans="1:11" ht="25.5" x14ac:dyDescent="0.25">
      <c r="A113" s="1522"/>
      <c r="B113" s="1161" t="s">
        <v>281</v>
      </c>
      <c r="C113" s="1531"/>
      <c r="D113" s="1532"/>
      <c r="E113" s="1532"/>
      <c r="F113" s="1532"/>
      <c r="G113" s="1532"/>
      <c r="H113" s="1532"/>
      <c r="I113" s="1532"/>
      <c r="J113" s="1532"/>
      <c r="K113" s="1533"/>
    </row>
    <row r="114" spans="1:11" ht="44.25" customHeight="1" x14ac:dyDescent="0.25">
      <c r="A114" s="1523"/>
      <c r="B114" s="1162" t="s">
        <v>282</v>
      </c>
      <c r="C114" s="272" t="s">
        <v>200</v>
      </c>
      <c r="D114" s="1155" t="s">
        <v>1298</v>
      </c>
      <c r="E114" s="1163">
        <v>215</v>
      </c>
      <c r="F114" s="1163">
        <v>3</v>
      </c>
      <c r="G114" s="1163">
        <v>6</v>
      </c>
      <c r="H114" s="1163">
        <v>9</v>
      </c>
      <c r="I114" s="1163">
        <v>12</v>
      </c>
      <c r="J114" s="1163">
        <v>15</v>
      </c>
      <c r="K114" s="1163">
        <v>260</v>
      </c>
    </row>
    <row r="115" spans="1:11" ht="30.75" customHeight="1" x14ac:dyDescent="0.25">
      <c r="A115" s="1523"/>
      <c r="B115" s="1162" t="s">
        <v>285</v>
      </c>
      <c r="C115" s="272" t="s">
        <v>200</v>
      </c>
      <c r="D115" s="1155" t="s">
        <v>1318</v>
      </c>
      <c r="E115" s="1117">
        <v>60500</v>
      </c>
      <c r="F115" s="1117">
        <v>25</v>
      </c>
      <c r="G115" s="272">
        <v>25</v>
      </c>
      <c r="H115" s="272">
        <v>27</v>
      </c>
      <c r="I115" s="272">
        <v>30</v>
      </c>
      <c r="J115" s="272">
        <v>31000</v>
      </c>
      <c r="K115" s="1117">
        <v>91607</v>
      </c>
    </row>
    <row r="116" spans="1:11" ht="30" customHeight="1" x14ac:dyDescent="0.25">
      <c r="A116" s="1523"/>
      <c r="B116" s="1162" t="s">
        <v>288</v>
      </c>
      <c r="C116" s="272" t="s">
        <v>200</v>
      </c>
      <c r="D116" s="1155" t="s">
        <v>1318</v>
      </c>
      <c r="E116" s="1117">
        <v>12000</v>
      </c>
      <c r="F116" s="1117">
        <v>1000</v>
      </c>
      <c r="G116" s="272">
        <v>2000</v>
      </c>
      <c r="H116" s="272">
        <v>1000</v>
      </c>
      <c r="I116" s="272">
        <v>1000</v>
      </c>
      <c r="J116" s="272">
        <v>1000</v>
      </c>
      <c r="K116" s="272">
        <v>18</v>
      </c>
    </row>
    <row r="117" spans="1:11" ht="42" customHeight="1" x14ac:dyDescent="0.25">
      <c r="A117" s="1523"/>
      <c r="B117" s="1162" t="s">
        <v>291</v>
      </c>
      <c r="C117" s="272" t="s">
        <v>200</v>
      </c>
      <c r="D117" s="1155" t="s">
        <v>1318</v>
      </c>
      <c r="E117" s="1136" t="s">
        <v>217</v>
      </c>
      <c r="F117" s="1117">
        <v>3000</v>
      </c>
      <c r="G117" s="272">
        <v>5100</v>
      </c>
      <c r="H117" s="1142" t="s">
        <v>217</v>
      </c>
      <c r="I117" s="272">
        <v>5120</v>
      </c>
      <c r="J117" s="1142" t="s">
        <v>217</v>
      </c>
      <c r="K117" s="272">
        <v>13220</v>
      </c>
    </row>
    <row r="118" spans="1:11" ht="43.5" customHeight="1" x14ac:dyDescent="0.25">
      <c r="A118" s="1524"/>
      <c r="B118" s="1162" t="s">
        <v>293</v>
      </c>
      <c r="C118" s="272" t="s">
        <v>200</v>
      </c>
      <c r="D118" s="1155" t="s">
        <v>1298</v>
      </c>
      <c r="E118" s="1117">
        <v>46</v>
      </c>
      <c r="F118" s="1136" t="s">
        <v>217</v>
      </c>
      <c r="G118" s="1117">
        <v>15</v>
      </c>
      <c r="H118" s="1136" t="s">
        <v>217</v>
      </c>
      <c r="I118" s="1117">
        <v>20</v>
      </c>
      <c r="J118" s="1136" t="s">
        <v>217</v>
      </c>
      <c r="K118" s="1117">
        <v>81</v>
      </c>
    </row>
    <row r="119" spans="1:11" ht="31.5" customHeight="1" x14ac:dyDescent="0.25">
      <c r="A119" s="1522"/>
      <c r="B119" s="1161" t="s">
        <v>300</v>
      </c>
      <c r="C119" s="1531"/>
      <c r="D119" s="1532"/>
      <c r="E119" s="1532"/>
      <c r="F119" s="1532"/>
      <c r="G119" s="1532"/>
      <c r="H119" s="1532"/>
      <c r="I119" s="1532"/>
      <c r="J119" s="1532"/>
      <c r="K119" s="1533"/>
    </row>
    <row r="120" spans="1:11" ht="20.25" customHeight="1" x14ac:dyDescent="0.25">
      <c r="A120" s="1523"/>
      <c r="B120" s="1161" t="s">
        <v>220</v>
      </c>
      <c r="C120" s="1164"/>
      <c r="D120" s="1562"/>
      <c r="E120" s="1563"/>
      <c r="F120" s="1563"/>
      <c r="G120" s="1563"/>
      <c r="H120" s="1563"/>
      <c r="I120" s="1563"/>
      <c r="J120" s="1563"/>
      <c r="K120" s="1564"/>
    </row>
    <row r="121" spans="1:11" ht="29.25" customHeight="1" x14ac:dyDescent="0.25">
      <c r="A121" s="1523"/>
      <c r="B121" s="1162" t="s">
        <v>301</v>
      </c>
      <c r="C121" s="272" t="s">
        <v>200</v>
      </c>
      <c r="D121" s="1155" t="s">
        <v>1298</v>
      </c>
      <c r="E121" s="1117">
        <v>45</v>
      </c>
      <c r="F121" s="1117">
        <v>17</v>
      </c>
      <c r="G121" s="1117">
        <v>18</v>
      </c>
      <c r="H121" s="1117">
        <v>19</v>
      </c>
      <c r="I121" s="1117">
        <v>20</v>
      </c>
      <c r="J121" s="1117">
        <v>21</v>
      </c>
      <c r="K121" s="1117">
        <v>140</v>
      </c>
    </row>
    <row r="122" spans="1:11" ht="27.75" customHeight="1" x14ac:dyDescent="0.25">
      <c r="A122" s="1523"/>
      <c r="B122" s="1162" t="s">
        <v>304</v>
      </c>
      <c r="C122" s="272" t="s">
        <v>200</v>
      </c>
      <c r="D122" s="1155" t="s">
        <v>1298</v>
      </c>
      <c r="E122" s="1117">
        <v>2</v>
      </c>
      <c r="F122" s="1117">
        <v>2</v>
      </c>
      <c r="G122" s="1117">
        <v>3</v>
      </c>
      <c r="H122" s="1117">
        <v>4</v>
      </c>
      <c r="I122" s="1117">
        <v>5</v>
      </c>
      <c r="J122" s="1117">
        <v>6</v>
      </c>
      <c r="K122" s="1117">
        <v>22</v>
      </c>
    </row>
    <row r="123" spans="1:11" ht="28.5" customHeight="1" x14ac:dyDescent="0.25">
      <c r="A123" s="1523"/>
      <c r="B123" s="1162" t="s">
        <v>307</v>
      </c>
      <c r="C123" s="272" t="s">
        <v>200</v>
      </c>
      <c r="D123" s="1155" t="s">
        <v>1298</v>
      </c>
      <c r="E123" s="1117">
        <v>6</v>
      </c>
      <c r="F123" s="1117">
        <v>5</v>
      </c>
      <c r="G123" s="1117">
        <v>6</v>
      </c>
      <c r="H123" s="1117">
        <v>7</v>
      </c>
      <c r="I123" s="1117">
        <v>8</v>
      </c>
      <c r="J123" s="1117">
        <v>9</v>
      </c>
      <c r="K123" s="1117">
        <v>41</v>
      </c>
    </row>
    <row r="124" spans="1:11" x14ac:dyDescent="0.25">
      <c r="A124" s="1523"/>
      <c r="B124" s="1161" t="s">
        <v>310</v>
      </c>
      <c r="C124" s="1165"/>
      <c r="D124" s="1565"/>
      <c r="E124" s="1566"/>
      <c r="F124" s="1566"/>
      <c r="G124" s="1566"/>
      <c r="H124" s="1566"/>
      <c r="I124" s="1566"/>
      <c r="J124" s="1566"/>
      <c r="K124" s="1567"/>
    </row>
    <row r="125" spans="1:11" ht="25.5" x14ac:dyDescent="0.25">
      <c r="A125" s="1523"/>
      <c r="B125" s="1162" t="s">
        <v>311</v>
      </c>
      <c r="C125" s="272" t="s">
        <v>200</v>
      </c>
      <c r="D125" s="1155" t="s">
        <v>1298</v>
      </c>
      <c r="E125" s="1166" t="s">
        <v>217</v>
      </c>
      <c r="F125" s="1117">
        <v>5</v>
      </c>
      <c r="G125" s="1117">
        <v>7</v>
      </c>
      <c r="H125" s="1117">
        <v>8</v>
      </c>
      <c r="I125" s="1117">
        <v>9</v>
      </c>
      <c r="J125" s="1117">
        <v>10</v>
      </c>
      <c r="K125" s="1117">
        <v>39</v>
      </c>
    </row>
    <row r="126" spans="1:11" ht="20.25" customHeight="1" x14ac:dyDescent="0.25">
      <c r="A126" s="1523"/>
      <c r="B126" s="1161" t="s">
        <v>313</v>
      </c>
      <c r="C126" s="1165"/>
      <c r="D126" s="1565"/>
      <c r="E126" s="1566"/>
      <c r="F126" s="1566"/>
      <c r="G126" s="1566"/>
      <c r="H126" s="1566"/>
      <c r="I126" s="1566"/>
      <c r="J126" s="1566"/>
      <c r="K126" s="1567"/>
    </row>
    <row r="127" spans="1:11" ht="56.25" customHeight="1" x14ac:dyDescent="0.25">
      <c r="A127" s="1523"/>
      <c r="B127" s="1134" t="s">
        <v>314</v>
      </c>
      <c r="C127" s="272" t="s">
        <v>200</v>
      </c>
      <c r="D127" s="1155" t="s">
        <v>1298</v>
      </c>
      <c r="E127" s="1117">
        <v>1</v>
      </c>
      <c r="F127" s="1117">
        <v>4</v>
      </c>
      <c r="G127" s="1117">
        <v>5</v>
      </c>
      <c r="H127" s="1117">
        <v>6</v>
      </c>
      <c r="I127" s="1117">
        <v>6</v>
      </c>
      <c r="J127" s="1117">
        <v>8</v>
      </c>
      <c r="K127" s="1117">
        <v>30</v>
      </c>
    </row>
    <row r="128" spans="1:11" ht="89.25" x14ac:dyDescent="0.25">
      <c r="A128" s="123"/>
      <c r="B128" s="41" t="s">
        <v>296</v>
      </c>
      <c r="C128" s="272" t="s">
        <v>39</v>
      </c>
      <c r="D128" s="272" t="s">
        <v>1319</v>
      </c>
      <c r="E128" s="25" t="s">
        <v>297</v>
      </c>
      <c r="F128" s="25" t="s">
        <v>1320</v>
      </c>
      <c r="G128" s="25" t="s">
        <v>298</v>
      </c>
      <c r="H128" s="25" t="s">
        <v>298</v>
      </c>
      <c r="I128" s="25" t="s">
        <v>298</v>
      </c>
      <c r="J128" s="25" t="s">
        <v>298</v>
      </c>
      <c r="K128" s="25" t="s">
        <v>298</v>
      </c>
    </row>
    <row r="129" spans="1:11" ht="63.75" x14ac:dyDescent="0.25">
      <c r="A129" s="123"/>
      <c r="B129" s="41" t="s">
        <v>1321</v>
      </c>
      <c r="C129" s="272" t="s">
        <v>39</v>
      </c>
      <c r="D129" s="272" t="s">
        <v>1322</v>
      </c>
      <c r="E129" s="1167" t="s">
        <v>217</v>
      </c>
      <c r="F129" s="25" t="s">
        <v>1323</v>
      </c>
      <c r="G129" s="25" t="s">
        <v>1324</v>
      </c>
      <c r="H129" s="25" t="s">
        <v>1325</v>
      </c>
      <c r="I129" s="25" t="s">
        <v>1326</v>
      </c>
      <c r="J129" s="25" t="s">
        <v>1326</v>
      </c>
      <c r="K129" s="25" t="s">
        <v>318</v>
      </c>
    </row>
    <row r="130" spans="1:11" ht="38.25" x14ac:dyDescent="0.25">
      <c r="A130" s="123"/>
      <c r="B130" s="23" t="s">
        <v>1327</v>
      </c>
      <c r="C130" s="272" t="s">
        <v>39</v>
      </c>
      <c r="D130" s="25" t="s">
        <v>1286</v>
      </c>
      <c r="E130" s="123">
        <v>880</v>
      </c>
      <c r="F130" s="123">
        <v>905</v>
      </c>
      <c r="G130" s="123">
        <v>930</v>
      </c>
      <c r="H130" s="123">
        <v>955</v>
      </c>
      <c r="I130" s="123">
        <v>980</v>
      </c>
      <c r="J130" s="123">
        <v>1005</v>
      </c>
      <c r="K130" s="123">
        <v>1005</v>
      </c>
    </row>
    <row r="131" spans="1:11" ht="25.5" x14ac:dyDescent="0.25">
      <c r="A131" s="1160"/>
      <c r="B131" s="1081" t="s">
        <v>324</v>
      </c>
      <c r="C131" s="272" t="s">
        <v>266</v>
      </c>
      <c r="D131" s="272" t="s">
        <v>1328</v>
      </c>
      <c r="E131" s="273">
        <v>16</v>
      </c>
      <c r="F131" s="273">
        <v>20</v>
      </c>
      <c r="G131" s="273">
        <v>22</v>
      </c>
      <c r="H131" s="273">
        <v>24</v>
      </c>
      <c r="I131" s="273">
        <v>25</v>
      </c>
      <c r="J131" s="273">
        <v>26</v>
      </c>
      <c r="K131" s="273">
        <v>32</v>
      </c>
    </row>
    <row r="132" spans="1:11" ht="38.25" x14ac:dyDescent="0.25">
      <c r="A132" s="1117"/>
      <c r="B132" s="1087" t="s">
        <v>327</v>
      </c>
      <c r="C132" s="272" t="s">
        <v>266</v>
      </c>
      <c r="D132" s="272"/>
      <c r="E132" s="1159"/>
      <c r="F132" s="1159"/>
      <c r="G132" s="1159"/>
      <c r="H132" s="1159"/>
      <c r="I132" s="1159"/>
      <c r="J132" s="1159"/>
      <c r="K132" s="1159"/>
    </row>
    <row r="133" spans="1:11" x14ac:dyDescent="0.25">
      <c r="A133" s="1168"/>
      <c r="B133" s="281" t="s">
        <v>328</v>
      </c>
      <c r="C133" s="272" t="s">
        <v>266</v>
      </c>
      <c r="D133" s="282" t="s">
        <v>1271</v>
      </c>
      <c r="E133" s="1169">
        <v>26</v>
      </c>
      <c r="F133" s="1169">
        <v>32</v>
      </c>
      <c r="G133" s="1169">
        <v>38</v>
      </c>
      <c r="H133" s="1169">
        <v>44</v>
      </c>
      <c r="I133" s="1169">
        <v>50</v>
      </c>
      <c r="J133" s="1169">
        <v>56</v>
      </c>
      <c r="K133" s="1169">
        <v>62</v>
      </c>
    </row>
    <row r="134" spans="1:11" ht="25.5" x14ac:dyDescent="0.25">
      <c r="A134" s="1170"/>
      <c r="B134" s="125" t="s">
        <v>329</v>
      </c>
      <c r="C134" s="272" t="s">
        <v>266</v>
      </c>
      <c r="D134" s="282" t="s">
        <v>1271</v>
      </c>
      <c r="E134" s="1169">
        <v>30</v>
      </c>
      <c r="F134" s="1169">
        <v>35</v>
      </c>
      <c r="G134" s="1169">
        <v>40</v>
      </c>
      <c r="H134" s="1169">
        <v>45</v>
      </c>
      <c r="I134" s="1169">
        <v>50</v>
      </c>
      <c r="J134" s="1169">
        <v>55</v>
      </c>
      <c r="K134" s="1169">
        <v>60</v>
      </c>
    </row>
    <row r="135" spans="1:11" x14ac:dyDescent="0.25">
      <c r="A135" s="1101" t="s">
        <v>330</v>
      </c>
      <c r="B135" s="1539" t="s">
        <v>331</v>
      </c>
      <c r="C135" s="1540"/>
      <c r="D135" s="1540"/>
      <c r="E135" s="1540"/>
      <c r="F135" s="1540"/>
      <c r="G135" s="1540"/>
      <c r="H135" s="1540"/>
      <c r="I135" s="1540"/>
      <c r="J135" s="1540"/>
      <c r="K135" s="1541"/>
    </row>
    <row r="136" spans="1:11" ht="18.75" customHeight="1" x14ac:dyDescent="0.25">
      <c r="A136" s="123"/>
      <c r="B136" s="1086" t="s">
        <v>334</v>
      </c>
      <c r="C136" s="25" t="s">
        <v>1329</v>
      </c>
      <c r="D136" s="25" t="s">
        <v>1330</v>
      </c>
      <c r="E136" s="1171">
        <v>5</v>
      </c>
      <c r="F136" s="1171">
        <v>5</v>
      </c>
      <c r="G136" s="1171">
        <v>7</v>
      </c>
      <c r="H136" s="1171">
        <v>8</v>
      </c>
      <c r="I136" s="1171">
        <v>9</v>
      </c>
      <c r="J136" s="1171">
        <v>10</v>
      </c>
      <c r="K136" s="1171">
        <v>12</v>
      </c>
    </row>
    <row r="137" spans="1:11" ht="30" customHeight="1" x14ac:dyDescent="0.25">
      <c r="A137" s="123"/>
      <c r="B137" s="1086" t="s">
        <v>342</v>
      </c>
      <c r="C137" s="25" t="s">
        <v>1329</v>
      </c>
      <c r="D137" s="25" t="s">
        <v>1271</v>
      </c>
      <c r="E137" s="1172">
        <v>60</v>
      </c>
      <c r="F137" s="1172">
        <v>60</v>
      </c>
      <c r="G137" s="1172">
        <v>63</v>
      </c>
      <c r="H137" s="1172">
        <v>65</v>
      </c>
      <c r="I137" s="1172">
        <v>70</v>
      </c>
      <c r="J137" s="1172">
        <v>76</v>
      </c>
      <c r="K137" s="1172">
        <v>80</v>
      </c>
    </row>
    <row r="138" spans="1:11" ht="21" customHeight="1" x14ac:dyDescent="0.25">
      <c r="A138" s="123"/>
      <c r="B138" s="1086" t="s">
        <v>347</v>
      </c>
      <c r="C138" s="25" t="s">
        <v>1329</v>
      </c>
      <c r="D138" s="25" t="s">
        <v>1331</v>
      </c>
      <c r="E138" s="1172">
        <v>3</v>
      </c>
      <c r="F138" s="1172">
        <v>3</v>
      </c>
      <c r="G138" s="1172">
        <v>4</v>
      </c>
      <c r="H138" s="1172">
        <v>6</v>
      </c>
      <c r="I138" s="1172">
        <v>7</v>
      </c>
      <c r="J138" s="1172">
        <v>9</v>
      </c>
      <c r="K138" s="1172">
        <v>10</v>
      </c>
    </row>
    <row r="139" spans="1:11" ht="20.25" customHeight="1" x14ac:dyDescent="0.25">
      <c r="A139" s="123"/>
      <c r="B139" s="1173" t="s">
        <v>1332</v>
      </c>
      <c r="C139" s="123" t="s">
        <v>61</v>
      </c>
      <c r="D139" s="123" t="s">
        <v>1333</v>
      </c>
      <c r="E139" s="123">
        <v>1</v>
      </c>
      <c r="F139" s="123">
        <v>1</v>
      </c>
      <c r="G139" s="123">
        <v>1</v>
      </c>
      <c r="H139" s="123">
        <v>2</v>
      </c>
      <c r="I139" s="123">
        <v>2</v>
      </c>
      <c r="J139" s="123">
        <v>2</v>
      </c>
      <c r="K139" s="123">
        <v>2</v>
      </c>
    </row>
    <row r="140" spans="1:11" ht="21.75" customHeight="1" x14ac:dyDescent="0.25">
      <c r="A140" s="123"/>
      <c r="B140" s="1086" t="s">
        <v>1334</v>
      </c>
      <c r="C140" s="25" t="s">
        <v>1335</v>
      </c>
      <c r="D140" s="25" t="s">
        <v>1336</v>
      </c>
      <c r="E140" s="1174">
        <v>250</v>
      </c>
      <c r="F140" s="1174">
        <v>350</v>
      </c>
      <c r="G140" s="1174">
        <v>455</v>
      </c>
      <c r="H140" s="1174">
        <v>592</v>
      </c>
      <c r="I140" s="1174">
        <v>770</v>
      </c>
      <c r="J140" s="1174">
        <v>1001</v>
      </c>
      <c r="K140" s="1174">
        <v>1001</v>
      </c>
    </row>
    <row r="141" spans="1:11" ht="30.75" customHeight="1" x14ac:dyDescent="0.25">
      <c r="A141" s="123"/>
      <c r="B141" s="1086" t="s">
        <v>1337</v>
      </c>
      <c r="C141" s="25" t="s">
        <v>1335</v>
      </c>
      <c r="D141" s="25" t="s">
        <v>1338</v>
      </c>
      <c r="E141" s="1175">
        <v>2156</v>
      </c>
      <c r="F141" s="1175">
        <v>2803</v>
      </c>
      <c r="G141" s="1175">
        <v>3644</v>
      </c>
      <c r="H141" s="1175">
        <v>4737</v>
      </c>
      <c r="I141" s="1175">
        <v>6158</v>
      </c>
      <c r="J141" s="1175">
        <v>8005</v>
      </c>
      <c r="K141" s="1175">
        <v>8005</v>
      </c>
    </row>
    <row r="142" spans="1:11" ht="21" customHeight="1" x14ac:dyDescent="0.25">
      <c r="A142" s="123"/>
      <c r="B142" s="1086" t="s">
        <v>1339</v>
      </c>
      <c r="C142" s="25" t="s">
        <v>1335</v>
      </c>
      <c r="D142" s="25" t="s">
        <v>1336</v>
      </c>
      <c r="E142" s="1174">
        <v>1078</v>
      </c>
      <c r="F142" s="1174">
        <v>1401</v>
      </c>
      <c r="G142" s="1174">
        <v>1822</v>
      </c>
      <c r="H142" s="1174">
        <v>2368</v>
      </c>
      <c r="I142" s="1174">
        <v>3079</v>
      </c>
      <c r="J142" s="1174">
        <v>4003</v>
      </c>
      <c r="K142" s="1174">
        <v>4003</v>
      </c>
    </row>
    <row r="143" spans="1:11" ht="29.25" customHeight="1" x14ac:dyDescent="0.25">
      <c r="A143" s="123"/>
      <c r="B143" s="1086" t="s">
        <v>377</v>
      </c>
      <c r="C143" s="25" t="s">
        <v>1335</v>
      </c>
      <c r="D143" s="25" t="s">
        <v>1271</v>
      </c>
      <c r="E143" s="1144" t="s">
        <v>217</v>
      </c>
      <c r="F143" s="1144" t="s">
        <v>217</v>
      </c>
      <c r="G143" s="1113">
        <v>0.03</v>
      </c>
      <c r="H143" s="1113">
        <v>0.03</v>
      </c>
      <c r="I143" s="1113">
        <v>0.02</v>
      </c>
      <c r="J143" s="1144" t="s">
        <v>217</v>
      </c>
      <c r="K143" s="1144" t="s">
        <v>217</v>
      </c>
    </row>
    <row r="144" spans="1:11" ht="29.25" customHeight="1" x14ac:dyDescent="0.25">
      <c r="A144" s="1534"/>
      <c r="B144" s="135" t="s">
        <v>1340</v>
      </c>
      <c r="C144" s="1559"/>
      <c r="D144" s="1560"/>
      <c r="E144" s="1560"/>
      <c r="F144" s="1560"/>
      <c r="G144" s="1560"/>
      <c r="H144" s="1560"/>
      <c r="I144" s="1560"/>
      <c r="J144" s="1560"/>
      <c r="K144" s="1561"/>
    </row>
    <row r="145" spans="1:11" ht="30.75" customHeight="1" x14ac:dyDescent="0.25">
      <c r="A145" s="1558"/>
      <c r="B145" s="135" t="s">
        <v>379</v>
      </c>
      <c r="C145" s="280" t="s">
        <v>1341</v>
      </c>
      <c r="D145" s="280" t="s">
        <v>1295</v>
      </c>
      <c r="E145" s="1109">
        <v>0</v>
      </c>
      <c r="F145" s="1109">
        <v>80</v>
      </c>
      <c r="G145" s="1109">
        <v>200</v>
      </c>
      <c r="H145" s="1109">
        <v>400</v>
      </c>
      <c r="I145" s="1109">
        <v>500</v>
      </c>
      <c r="J145" s="1109">
        <v>600</v>
      </c>
      <c r="K145" s="1109">
        <v>60</v>
      </c>
    </row>
    <row r="146" spans="1:11" ht="45" customHeight="1" x14ac:dyDescent="0.25">
      <c r="A146" s="1558"/>
      <c r="B146" s="135" t="s">
        <v>385</v>
      </c>
      <c r="C146" s="280" t="s">
        <v>1341</v>
      </c>
      <c r="D146" s="25" t="s">
        <v>1271</v>
      </c>
      <c r="E146" s="1109">
        <v>0</v>
      </c>
      <c r="F146" s="1109">
        <v>20</v>
      </c>
      <c r="G146" s="1109">
        <v>30</v>
      </c>
      <c r="H146" s="1109">
        <v>40</v>
      </c>
      <c r="I146" s="1109">
        <v>50</v>
      </c>
      <c r="J146" s="1109">
        <v>60</v>
      </c>
      <c r="K146" s="1109">
        <v>60</v>
      </c>
    </row>
    <row r="147" spans="1:11" ht="44.25" customHeight="1" x14ac:dyDescent="0.25">
      <c r="A147" s="1558"/>
      <c r="B147" s="135" t="s">
        <v>386</v>
      </c>
      <c r="C147" s="280" t="s">
        <v>1341</v>
      </c>
      <c r="D147" s="25" t="s">
        <v>1271</v>
      </c>
      <c r="E147" s="1109">
        <v>0</v>
      </c>
      <c r="F147" s="1109">
        <v>3</v>
      </c>
      <c r="G147" s="1109">
        <v>5</v>
      </c>
      <c r="H147" s="1109">
        <v>5</v>
      </c>
      <c r="I147" s="1109">
        <v>5</v>
      </c>
      <c r="J147" s="1109">
        <v>5</v>
      </c>
      <c r="K147" s="1109">
        <v>5</v>
      </c>
    </row>
    <row r="148" spans="1:11" ht="28.5" customHeight="1" x14ac:dyDescent="0.25">
      <c r="A148" s="1535"/>
      <c r="B148" s="135" t="s">
        <v>387</v>
      </c>
      <c r="C148" s="280" t="s">
        <v>1341</v>
      </c>
      <c r="D148" s="280" t="s">
        <v>1342</v>
      </c>
      <c r="E148" s="1109">
        <v>0</v>
      </c>
      <c r="F148" s="1109">
        <v>1</v>
      </c>
      <c r="G148" s="1109">
        <v>2</v>
      </c>
      <c r="H148" s="1109">
        <v>4</v>
      </c>
      <c r="I148" s="1109">
        <v>5</v>
      </c>
      <c r="J148" s="1109">
        <v>6</v>
      </c>
      <c r="K148" s="1109">
        <v>6</v>
      </c>
    </row>
    <row r="149" spans="1:11" ht="32.25" customHeight="1" x14ac:dyDescent="0.25">
      <c r="A149" s="123"/>
      <c r="B149" s="1086" t="s">
        <v>390</v>
      </c>
      <c r="C149" s="25" t="s">
        <v>1343</v>
      </c>
      <c r="D149" s="25" t="s">
        <v>1344</v>
      </c>
      <c r="E149" s="1172">
        <v>0</v>
      </c>
      <c r="F149" s="1172">
        <v>0</v>
      </c>
      <c r="G149" s="1172">
        <v>1</v>
      </c>
      <c r="H149" s="1172">
        <v>1</v>
      </c>
      <c r="I149" s="1172">
        <v>2</v>
      </c>
      <c r="J149" s="1172">
        <v>2</v>
      </c>
      <c r="K149" s="1172">
        <v>2</v>
      </c>
    </row>
    <row r="150" spans="1:11" ht="20.25" customHeight="1" x14ac:dyDescent="0.25">
      <c r="A150" s="1101" t="s">
        <v>394</v>
      </c>
      <c r="B150" s="1539" t="s">
        <v>395</v>
      </c>
      <c r="C150" s="1540"/>
      <c r="D150" s="1540"/>
      <c r="E150" s="1540"/>
      <c r="F150" s="1540"/>
      <c r="G150" s="1540"/>
      <c r="H150" s="1540"/>
      <c r="I150" s="1540"/>
      <c r="J150" s="1540"/>
      <c r="K150" s="1541"/>
    </row>
    <row r="151" spans="1:11" ht="65.25" customHeight="1" x14ac:dyDescent="0.25">
      <c r="A151" s="123"/>
      <c r="B151" s="23" t="s">
        <v>1345</v>
      </c>
      <c r="C151" s="25" t="s">
        <v>1335</v>
      </c>
      <c r="D151" s="25" t="s">
        <v>1346</v>
      </c>
      <c r="E151" s="1174">
        <v>52</v>
      </c>
      <c r="F151" s="1174">
        <v>60</v>
      </c>
      <c r="G151" s="1174">
        <v>69</v>
      </c>
      <c r="H151" s="1174">
        <v>79</v>
      </c>
      <c r="I151" s="1174">
        <v>91</v>
      </c>
      <c r="J151" s="1174">
        <v>105</v>
      </c>
      <c r="K151" s="1174">
        <v>105</v>
      </c>
    </row>
    <row r="152" spans="1:11" ht="18.75" customHeight="1" x14ac:dyDescent="0.25">
      <c r="A152" s="123"/>
      <c r="B152" s="140" t="s">
        <v>1347</v>
      </c>
      <c r="C152" s="25" t="s">
        <v>1335</v>
      </c>
      <c r="D152" s="123" t="s">
        <v>1346</v>
      </c>
      <c r="E152" s="1174">
        <v>124</v>
      </c>
      <c r="F152" s="1174">
        <v>136</v>
      </c>
      <c r="G152" s="1174">
        <v>150</v>
      </c>
      <c r="H152" s="1174">
        <v>165</v>
      </c>
      <c r="I152" s="1174">
        <v>182</v>
      </c>
      <c r="J152" s="1174">
        <v>200</v>
      </c>
      <c r="K152" s="1174">
        <v>200</v>
      </c>
    </row>
    <row r="153" spans="1:11" ht="27.75" customHeight="1" x14ac:dyDescent="0.25">
      <c r="A153" s="123"/>
      <c r="B153" s="23" t="s">
        <v>397</v>
      </c>
      <c r="C153" s="25" t="s">
        <v>1335</v>
      </c>
      <c r="D153" s="25" t="s">
        <v>1348</v>
      </c>
      <c r="E153" s="1174">
        <v>20</v>
      </c>
      <c r="F153" s="1174">
        <v>20</v>
      </c>
      <c r="G153" s="1174">
        <v>20</v>
      </c>
      <c r="H153" s="1174">
        <v>20</v>
      </c>
      <c r="I153" s="1174">
        <v>20</v>
      </c>
      <c r="J153" s="1174">
        <v>20</v>
      </c>
      <c r="K153" s="1174">
        <v>20</v>
      </c>
    </row>
    <row r="154" spans="1:11" ht="31.5" customHeight="1" x14ac:dyDescent="0.25">
      <c r="A154" s="123"/>
      <c r="B154" s="23" t="s">
        <v>1349</v>
      </c>
      <c r="C154" s="25" t="s">
        <v>1335</v>
      </c>
      <c r="D154" s="25" t="s">
        <v>1350</v>
      </c>
      <c r="E154" s="1174">
        <v>2</v>
      </c>
      <c r="F154" s="1174">
        <v>2</v>
      </c>
      <c r="G154" s="1174">
        <v>2</v>
      </c>
      <c r="H154" s="1174">
        <v>2</v>
      </c>
      <c r="I154" s="1174">
        <v>2</v>
      </c>
      <c r="J154" s="1174">
        <v>2</v>
      </c>
      <c r="K154" s="1174">
        <v>2</v>
      </c>
    </row>
    <row r="155" spans="1:11" ht="21" customHeight="1" x14ac:dyDescent="0.25">
      <c r="A155" s="1101" t="s">
        <v>1351</v>
      </c>
      <c r="B155" s="1539" t="s">
        <v>416</v>
      </c>
      <c r="C155" s="1540"/>
      <c r="D155" s="1540"/>
      <c r="E155" s="1540"/>
      <c r="F155" s="1540"/>
      <c r="G155" s="1540"/>
      <c r="H155" s="1540"/>
      <c r="I155" s="1540"/>
      <c r="J155" s="1540"/>
      <c r="K155" s="1541"/>
    </row>
    <row r="156" spans="1:11" ht="20.25" customHeight="1" x14ac:dyDescent="0.25">
      <c r="A156" s="1176"/>
      <c r="B156" s="140" t="s">
        <v>419</v>
      </c>
      <c r="C156" s="283" t="s">
        <v>1352</v>
      </c>
      <c r="D156" s="283" t="s">
        <v>1353</v>
      </c>
      <c r="E156" s="1177" t="s">
        <v>217</v>
      </c>
      <c r="F156" s="1177" t="s">
        <v>217</v>
      </c>
      <c r="G156" s="1178">
        <v>100</v>
      </c>
      <c r="H156" s="1178">
        <v>100</v>
      </c>
      <c r="I156" s="1178">
        <v>200</v>
      </c>
      <c r="J156" s="1178">
        <v>200</v>
      </c>
      <c r="K156" s="1178">
        <v>500</v>
      </c>
    </row>
    <row r="157" spans="1:11" ht="19.5" customHeight="1" x14ac:dyDescent="0.25">
      <c r="A157" s="1160"/>
      <c r="B157" s="1086" t="s">
        <v>426</v>
      </c>
      <c r="C157" s="283" t="s">
        <v>1352</v>
      </c>
      <c r="D157" s="25" t="s">
        <v>1354</v>
      </c>
      <c r="E157" s="123" t="s">
        <v>217</v>
      </c>
      <c r="F157" s="123" t="s">
        <v>217</v>
      </c>
      <c r="G157" s="123">
        <v>10</v>
      </c>
      <c r="H157" s="123">
        <v>15</v>
      </c>
      <c r="I157" s="123">
        <v>10</v>
      </c>
      <c r="J157" s="123">
        <v>25</v>
      </c>
      <c r="K157" s="123">
        <v>60</v>
      </c>
    </row>
    <row r="158" spans="1:11" ht="32.25" customHeight="1" x14ac:dyDescent="0.25">
      <c r="A158" s="1160"/>
      <c r="B158" s="1086" t="s">
        <v>431</v>
      </c>
      <c r="C158" s="283" t="s">
        <v>1352</v>
      </c>
      <c r="D158" s="25" t="s">
        <v>1271</v>
      </c>
      <c r="E158" s="123" t="s">
        <v>217</v>
      </c>
      <c r="F158" s="123" t="s">
        <v>217</v>
      </c>
      <c r="G158" s="1109">
        <v>16</v>
      </c>
      <c r="H158" s="1109">
        <v>26</v>
      </c>
      <c r="I158" s="1109">
        <v>16</v>
      </c>
      <c r="J158" s="1109">
        <v>42</v>
      </c>
      <c r="K158" s="1178">
        <v>100</v>
      </c>
    </row>
    <row r="159" spans="1:11" ht="42" customHeight="1" x14ac:dyDescent="0.25">
      <c r="A159" s="1160"/>
      <c r="B159" s="1086" t="s">
        <v>434</v>
      </c>
      <c r="C159" s="283" t="s">
        <v>1352</v>
      </c>
      <c r="D159" s="25" t="s">
        <v>1355</v>
      </c>
      <c r="E159" s="123" t="s">
        <v>217</v>
      </c>
      <c r="F159" s="123">
        <v>1</v>
      </c>
      <c r="G159" s="123">
        <v>1</v>
      </c>
      <c r="H159" s="123" t="s">
        <v>217</v>
      </c>
      <c r="I159" s="123" t="s">
        <v>217</v>
      </c>
      <c r="J159" s="123" t="s">
        <v>217</v>
      </c>
      <c r="K159" s="123">
        <v>2</v>
      </c>
    </row>
    <row r="160" spans="1:11" ht="81" customHeight="1" x14ac:dyDescent="0.25">
      <c r="A160" s="1160"/>
      <c r="B160" s="1086" t="s">
        <v>437</v>
      </c>
      <c r="C160" s="283" t="s">
        <v>1352</v>
      </c>
      <c r="D160" s="25" t="s">
        <v>1356</v>
      </c>
      <c r="E160" s="123" t="s">
        <v>217</v>
      </c>
      <c r="F160" s="123" t="s">
        <v>217</v>
      </c>
      <c r="G160" s="123">
        <v>1</v>
      </c>
      <c r="H160" s="123">
        <v>1</v>
      </c>
      <c r="I160" s="123">
        <v>2</v>
      </c>
      <c r="J160" s="123">
        <v>2</v>
      </c>
      <c r="K160" s="123">
        <v>5</v>
      </c>
    </row>
    <row r="161" spans="1:11" ht="43.5" customHeight="1" x14ac:dyDescent="0.25">
      <c r="A161" s="1160"/>
      <c r="B161" s="23" t="s">
        <v>439</v>
      </c>
      <c r="C161" s="283" t="s">
        <v>1352</v>
      </c>
      <c r="D161" s="25" t="s">
        <v>1356</v>
      </c>
      <c r="E161" s="123" t="s">
        <v>217</v>
      </c>
      <c r="F161" s="123">
        <v>1</v>
      </c>
      <c r="G161" s="123">
        <v>2</v>
      </c>
      <c r="H161" s="123">
        <v>2</v>
      </c>
      <c r="I161" s="123">
        <v>3</v>
      </c>
      <c r="J161" s="123">
        <v>3</v>
      </c>
      <c r="K161" s="123">
        <v>11</v>
      </c>
    </row>
    <row r="162" spans="1:11" ht="81" customHeight="1" x14ac:dyDescent="0.25">
      <c r="A162" s="1160"/>
      <c r="B162" s="23" t="s">
        <v>440</v>
      </c>
      <c r="C162" s="283" t="s">
        <v>1352</v>
      </c>
      <c r="D162" s="25" t="s">
        <v>1271</v>
      </c>
      <c r="E162" s="123" t="s">
        <v>217</v>
      </c>
      <c r="F162" s="123" t="s">
        <v>217</v>
      </c>
      <c r="G162" s="1109">
        <v>25</v>
      </c>
      <c r="H162" s="1109">
        <v>25</v>
      </c>
      <c r="I162" s="1109">
        <v>25</v>
      </c>
      <c r="J162" s="1109">
        <v>25</v>
      </c>
      <c r="K162" s="1178">
        <v>100</v>
      </c>
    </row>
    <row r="163" spans="1:11" ht="70.5" customHeight="1" x14ac:dyDescent="0.25">
      <c r="A163" s="1160"/>
      <c r="B163" s="23" t="s">
        <v>442</v>
      </c>
      <c r="C163" s="283" t="s">
        <v>1352</v>
      </c>
      <c r="D163" s="25" t="s">
        <v>1356</v>
      </c>
      <c r="E163" s="123" t="s">
        <v>217</v>
      </c>
      <c r="F163" s="123" t="s">
        <v>217</v>
      </c>
      <c r="G163" s="123">
        <v>1</v>
      </c>
      <c r="H163" s="123">
        <v>1</v>
      </c>
      <c r="I163" s="123">
        <v>1</v>
      </c>
      <c r="J163" s="123">
        <v>1</v>
      </c>
      <c r="K163" s="123">
        <v>4</v>
      </c>
    </row>
    <row r="164" spans="1:11" ht="57.75" customHeight="1" x14ac:dyDescent="0.25">
      <c r="A164" s="1160"/>
      <c r="B164" s="1086" t="s">
        <v>443</v>
      </c>
      <c r="C164" s="283" t="s">
        <v>1352</v>
      </c>
      <c r="D164" s="25" t="s">
        <v>1271</v>
      </c>
      <c r="E164" s="123" t="s">
        <v>217</v>
      </c>
      <c r="F164" s="123" t="s">
        <v>217</v>
      </c>
      <c r="G164" s="1178">
        <v>100</v>
      </c>
      <c r="H164" s="1178">
        <v>100</v>
      </c>
      <c r="I164" s="1178">
        <v>100</v>
      </c>
      <c r="J164" s="1178">
        <v>100</v>
      </c>
      <c r="K164" s="1178">
        <v>100</v>
      </c>
    </row>
    <row r="165" spans="1:11" ht="54.75" customHeight="1" x14ac:dyDescent="0.25">
      <c r="A165" s="1160"/>
      <c r="B165" s="1086" t="s">
        <v>444</v>
      </c>
      <c r="C165" s="283" t="s">
        <v>1352</v>
      </c>
      <c r="D165" s="25" t="s">
        <v>1356</v>
      </c>
      <c r="E165" s="123" t="s">
        <v>217</v>
      </c>
      <c r="F165" s="123" t="s">
        <v>217</v>
      </c>
      <c r="G165" s="123">
        <v>1</v>
      </c>
      <c r="H165" s="123">
        <v>1</v>
      </c>
      <c r="I165" s="123">
        <v>1</v>
      </c>
      <c r="J165" s="123">
        <v>1</v>
      </c>
      <c r="K165" s="123">
        <v>4</v>
      </c>
    </row>
    <row r="166" spans="1:11" ht="42.75" customHeight="1" x14ac:dyDescent="0.25">
      <c r="A166" s="1160"/>
      <c r="B166" s="1086" t="s">
        <v>1357</v>
      </c>
      <c r="C166" s="283" t="s">
        <v>1352</v>
      </c>
      <c r="D166" s="25" t="s">
        <v>1271</v>
      </c>
      <c r="E166" s="1178">
        <v>100</v>
      </c>
      <c r="F166" s="1178">
        <v>100</v>
      </c>
      <c r="G166" s="1178">
        <v>100</v>
      </c>
      <c r="H166" s="1178">
        <v>100</v>
      </c>
      <c r="I166" s="1178">
        <v>100</v>
      </c>
      <c r="J166" s="1178">
        <v>100</v>
      </c>
      <c r="K166" s="1178">
        <v>100</v>
      </c>
    </row>
    <row r="167" spans="1:11" ht="30.75" customHeight="1" x14ac:dyDescent="0.25">
      <c r="A167" s="1160"/>
      <c r="B167" s="1086" t="s">
        <v>446</v>
      </c>
      <c r="C167" s="283" t="s">
        <v>1352</v>
      </c>
      <c r="D167" s="25" t="s">
        <v>1271</v>
      </c>
      <c r="E167" s="1178">
        <v>100</v>
      </c>
      <c r="F167" s="1178">
        <v>100</v>
      </c>
      <c r="G167" s="1178">
        <v>100</v>
      </c>
      <c r="H167" s="1178">
        <v>100</v>
      </c>
      <c r="I167" s="1178">
        <v>100</v>
      </c>
      <c r="J167" s="1178">
        <v>100</v>
      </c>
      <c r="K167" s="1178">
        <v>100</v>
      </c>
    </row>
    <row r="168" spans="1:11" ht="71.25" customHeight="1" x14ac:dyDescent="0.25">
      <c r="A168" s="1160"/>
      <c r="B168" s="1086" t="s">
        <v>447</v>
      </c>
      <c r="C168" s="283" t="s">
        <v>1352</v>
      </c>
      <c r="D168" s="25" t="s">
        <v>1271</v>
      </c>
      <c r="E168" s="123" t="s">
        <v>217</v>
      </c>
      <c r="F168" s="123" t="s">
        <v>217</v>
      </c>
      <c r="G168" s="273">
        <v>100</v>
      </c>
      <c r="H168" s="273">
        <v>100</v>
      </c>
      <c r="I168" s="273">
        <v>100</v>
      </c>
      <c r="J168" s="273">
        <v>100</v>
      </c>
      <c r="K168" s="273">
        <v>100</v>
      </c>
    </row>
    <row r="169" spans="1:11" ht="19.5" customHeight="1" x14ac:dyDescent="0.25">
      <c r="A169" s="1101" t="s">
        <v>448</v>
      </c>
      <c r="B169" s="1539" t="s">
        <v>449</v>
      </c>
      <c r="C169" s="1540"/>
      <c r="D169" s="1540"/>
      <c r="E169" s="1540"/>
      <c r="F169" s="1540"/>
      <c r="G169" s="1540"/>
      <c r="H169" s="1540"/>
      <c r="I169" s="1540"/>
      <c r="J169" s="1540"/>
      <c r="K169" s="1541"/>
    </row>
    <row r="170" spans="1:11" ht="31.5" customHeight="1" x14ac:dyDescent="0.25">
      <c r="A170" s="123"/>
      <c r="B170" s="284" t="s">
        <v>452</v>
      </c>
      <c r="C170" s="285" t="s">
        <v>1358</v>
      </c>
      <c r="D170" s="25" t="s">
        <v>1271</v>
      </c>
      <c r="E170" s="1109">
        <v>0.2</v>
      </c>
      <c r="F170" s="1109">
        <v>25</v>
      </c>
      <c r="G170" s="1109">
        <v>25</v>
      </c>
      <c r="H170" s="1109">
        <v>25</v>
      </c>
      <c r="I170" s="1109">
        <v>25</v>
      </c>
      <c r="J170" s="1109">
        <v>25</v>
      </c>
      <c r="K170" s="1109">
        <v>100</v>
      </c>
    </row>
    <row r="171" spans="1:11" ht="30.75" customHeight="1" x14ac:dyDescent="0.25">
      <c r="A171" s="123"/>
      <c r="B171" s="284" t="s">
        <v>459</v>
      </c>
      <c r="C171" s="285" t="s">
        <v>1358</v>
      </c>
      <c r="D171" s="25" t="s">
        <v>1271</v>
      </c>
      <c r="E171" s="1109">
        <v>0.7</v>
      </c>
      <c r="F171" s="1109">
        <v>20</v>
      </c>
      <c r="G171" s="1109">
        <v>20</v>
      </c>
      <c r="H171" s="1109">
        <v>20</v>
      </c>
      <c r="I171" s="1109">
        <v>20</v>
      </c>
      <c r="J171" s="1109">
        <v>20</v>
      </c>
      <c r="K171" s="1109">
        <v>100</v>
      </c>
    </row>
    <row r="172" spans="1:11" ht="33" customHeight="1" x14ac:dyDescent="0.25">
      <c r="A172" s="123"/>
      <c r="B172" s="284" t="s">
        <v>463</v>
      </c>
      <c r="C172" s="285" t="s">
        <v>1358</v>
      </c>
      <c r="D172" s="25" t="s">
        <v>1271</v>
      </c>
      <c r="E172" s="1109">
        <v>0.2</v>
      </c>
      <c r="F172" s="1109">
        <v>25</v>
      </c>
      <c r="G172" s="1109">
        <v>25</v>
      </c>
      <c r="H172" s="1109">
        <v>25</v>
      </c>
      <c r="I172" s="1109">
        <v>25</v>
      </c>
      <c r="J172" s="1109">
        <v>25</v>
      </c>
      <c r="K172" s="1109">
        <v>100</v>
      </c>
    </row>
    <row r="173" spans="1:11" ht="32.25" customHeight="1" x14ac:dyDescent="0.25">
      <c r="A173" s="123"/>
      <c r="B173" s="284" t="s">
        <v>465</v>
      </c>
      <c r="C173" s="285" t="s">
        <v>1358</v>
      </c>
      <c r="D173" s="25" t="s">
        <v>1271</v>
      </c>
      <c r="E173" s="123" t="s">
        <v>217</v>
      </c>
      <c r="F173" s="1109">
        <v>0</v>
      </c>
      <c r="G173" s="1109">
        <v>25</v>
      </c>
      <c r="H173" s="1109">
        <v>25</v>
      </c>
      <c r="I173" s="1109">
        <v>25</v>
      </c>
      <c r="J173" s="1109">
        <v>25</v>
      </c>
      <c r="K173" s="1109">
        <v>100</v>
      </c>
    </row>
    <row r="174" spans="1:11" ht="25.5" x14ac:dyDescent="0.25">
      <c r="A174" s="123"/>
      <c r="B174" s="284" t="s">
        <v>466</v>
      </c>
      <c r="C174" s="285" t="s">
        <v>1358</v>
      </c>
      <c r="D174" s="285" t="s">
        <v>1359</v>
      </c>
      <c r="E174" s="123" t="s">
        <v>217</v>
      </c>
      <c r="F174" s="123" t="s">
        <v>217</v>
      </c>
      <c r="G174" s="123">
        <v>1</v>
      </c>
      <c r="H174" s="123">
        <v>1</v>
      </c>
      <c r="I174" s="123">
        <v>1</v>
      </c>
      <c r="J174" s="123">
        <v>1</v>
      </c>
      <c r="K174" s="123">
        <v>4</v>
      </c>
    </row>
    <row r="175" spans="1:11" ht="38.25" x14ac:dyDescent="0.25">
      <c r="A175" s="123"/>
      <c r="B175" s="284" t="s">
        <v>469</v>
      </c>
      <c r="C175" s="285" t="s">
        <v>1358</v>
      </c>
      <c r="D175" s="285" t="s">
        <v>1359</v>
      </c>
      <c r="E175" s="123" t="s">
        <v>217</v>
      </c>
      <c r="F175" s="123" t="s">
        <v>217</v>
      </c>
      <c r="G175" s="123">
        <v>1</v>
      </c>
      <c r="H175" s="123">
        <v>1</v>
      </c>
      <c r="I175" s="123">
        <v>1</v>
      </c>
      <c r="J175" s="123">
        <v>1</v>
      </c>
      <c r="K175" s="123">
        <v>4</v>
      </c>
    </row>
    <row r="176" spans="1:11" ht="43.5" customHeight="1" x14ac:dyDescent="0.25">
      <c r="A176" s="123"/>
      <c r="B176" s="284" t="s">
        <v>1360</v>
      </c>
      <c r="C176" s="285" t="s">
        <v>1358</v>
      </c>
      <c r="D176" s="25" t="s">
        <v>1271</v>
      </c>
      <c r="E176" s="123" t="s">
        <v>217</v>
      </c>
      <c r="F176" s="123" t="s">
        <v>217</v>
      </c>
      <c r="G176" s="123" t="s">
        <v>217</v>
      </c>
      <c r="H176" s="123" t="s">
        <v>217</v>
      </c>
      <c r="I176" s="123" t="s">
        <v>217</v>
      </c>
      <c r="J176" s="123" t="s">
        <v>217</v>
      </c>
      <c r="K176" s="123" t="s">
        <v>217</v>
      </c>
    </row>
    <row r="177" spans="1:11" ht="32.25" customHeight="1" x14ac:dyDescent="0.25">
      <c r="A177" s="123"/>
      <c r="B177" s="284" t="s">
        <v>471</v>
      </c>
      <c r="C177" s="285" t="s">
        <v>1358</v>
      </c>
      <c r="D177" s="25" t="s">
        <v>1271</v>
      </c>
      <c r="E177" s="1109" t="s">
        <v>472</v>
      </c>
      <c r="F177" s="1109">
        <v>36.950000000000003</v>
      </c>
      <c r="G177" s="1109">
        <v>15.76</v>
      </c>
      <c r="H177" s="1109">
        <v>15.76</v>
      </c>
      <c r="I177" s="1109">
        <v>15.76</v>
      </c>
      <c r="J177" s="1109">
        <v>15.76</v>
      </c>
      <c r="K177" s="1109">
        <v>100</v>
      </c>
    </row>
    <row r="178" spans="1:11" ht="40.5" customHeight="1" x14ac:dyDescent="0.25">
      <c r="A178" s="123"/>
      <c r="B178" s="284" t="s">
        <v>473</v>
      </c>
      <c r="C178" s="285" t="s">
        <v>1358</v>
      </c>
      <c r="D178" s="285" t="s">
        <v>1361</v>
      </c>
      <c r="E178" s="123">
        <v>1</v>
      </c>
      <c r="F178" s="1179">
        <v>0</v>
      </c>
      <c r="G178" s="1179">
        <v>5</v>
      </c>
      <c r="H178" s="1179">
        <v>5</v>
      </c>
      <c r="I178" s="1179">
        <v>5</v>
      </c>
      <c r="J178" s="1179">
        <v>5</v>
      </c>
      <c r="K178" s="1179">
        <v>21</v>
      </c>
    </row>
    <row r="179" spans="1:11" ht="30" customHeight="1" x14ac:dyDescent="0.25">
      <c r="A179" s="123"/>
      <c r="B179" s="284" t="s">
        <v>476</v>
      </c>
      <c r="C179" s="285" t="s">
        <v>1358</v>
      </c>
      <c r="D179" s="25" t="s">
        <v>1271</v>
      </c>
      <c r="E179" s="123" t="s">
        <v>477</v>
      </c>
      <c r="F179" s="1109">
        <v>4</v>
      </c>
      <c r="G179" s="1109">
        <v>19.18</v>
      </c>
      <c r="H179" s="1109">
        <v>19.18</v>
      </c>
      <c r="I179" s="1109">
        <v>19.18</v>
      </c>
      <c r="J179" s="1109">
        <v>19.18</v>
      </c>
      <c r="K179" s="1109">
        <v>81</v>
      </c>
    </row>
    <row r="180" spans="1:11" ht="30" customHeight="1" x14ac:dyDescent="0.25">
      <c r="A180" s="123"/>
      <c r="B180" s="284" t="s">
        <v>478</v>
      </c>
      <c r="C180" s="285" t="s">
        <v>1358</v>
      </c>
      <c r="D180" s="25" t="s">
        <v>1271</v>
      </c>
      <c r="E180" s="123" t="s">
        <v>217</v>
      </c>
      <c r="F180" s="123" t="s">
        <v>217</v>
      </c>
      <c r="G180" s="1109">
        <v>25.77</v>
      </c>
      <c r="H180" s="1109">
        <v>24.74</v>
      </c>
      <c r="I180" s="1109">
        <v>24.74</v>
      </c>
      <c r="J180" s="1109">
        <v>24.74</v>
      </c>
      <c r="K180" s="1109">
        <v>100</v>
      </c>
    </row>
    <row r="181" spans="1:11" ht="32.25" customHeight="1" x14ac:dyDescent="0.25">
      <c r="A181" s="123"/>
      <c r="B181" s="284" t="s">
        <v>479</v>
      </c>
      <c r="C181" s="285" t="s">
        <v>1358</v>
      </c>
      <c r="D181" s="25" t="s">
        <v>1271</v>
      </c>
      <c r="E181" s="123" t="s">
        <v>217</v>
      </c>
      <c r="F181" s="1109">
        <v>0</v>
      </c>
      <c r="G181" s="1109">
        <v>0</v>
      </c>
      <c r="H181" s="1109">
        <v>0</v>
      </c>
      <c r="I181" s="1109">
        <v>0</v>
      </c>
      <c r="J181" s="1109">
        <v>0</v>
      </c>
      <c r="K181" s="1109">
        <v>0</v>
      </c>
    </row>
    <row r="182" spans="1:11" ht="30.75" customHeight="1" x14ac:dyDescent="0.25">
      <c r="A182" s="123"/>
      <c r="B182" s="284" t="s">
        <v>480</v>
      </c>
      <c r="C182" s="285" t="s">
        <v>1358</v>
      </c>
      <c r="D182" s="285" t="s">
        <v>1362</v>
      </c>
      <c r="E182" s="25" t="s">
        <v>217</v>
      </c>
      <c r="F182" s="25">
        <v>0</v>
      </c>
      <c r="G182" s="25" t="s">
        <v>481</v>
      </c>
      <c r="H182" s="25">
        <v>0</v>
      </c>
      <c r="I182" s="25">
        <v>0</v>
      </c>
      <c r="J182" s="25">
        <v>0</v>
      </c>
      <c r="K182" s="25" t="s">
        <v>481</v>
      </c>
    </row>
    <row r="183" spans="1:11" ht="21" customHeight="1" x14ac:dyDescent="0.25">
      <c r="A183" s="1101" t="s">
        <v>483</v>
      </c>
      <c r="B183" s="1539" t="s">
        <v>484</v>
      </c>
      <c r="C183" s="1540"/>
      <c r="D183" s="1540"/>
      <c r="E183" s="1540"/>
      <c r="F183" s="1540"/>
      <c r="G183" s="1540"/>
      <c r="H183" s="1540"/>
      <c r="I183" s="1540"/>
      <c r="J183" s="1540"/>
      <c r="K183" s="1541"/>
    </row>
    <row r="184" spans="1:11" ht="42.75" customHeight="1" x14ac:dyDescent="0.25">
      <c r="A184" s="280"/>
      <c r="B184" s="1083" t="s">
        <v>487</v>
      </c>
      <c r="C184" s="280" t="s">
        <v>1341</v>
      </c>
      <c r="D184" s="280" t="s">
        <v>1363</v>
      </c>
      <c r="E184" s="291">
        <v>0</v>
      </c>
      <c r="F184" s="291">
        <v>1</v>
      </c>
      <c r="G184" s="291">
        <v>4</v>
      </c>
      <c r="H184" s="291">
        <v>5</v>
      </c>
      <c r="I184" s="291">
        <v>6</v>
      </c>
      <c r="J184" s="291">
        <v>6</v>
      </c>
      <c r="K184" s="291">
        <v>6</v>
      </c>
    </row>
    <row r="185" spans="1:11" ht="26.25" customHeight="1" x14ac:dyDescent="0.25">
      <c r="A185" s="280"/>
      <c r="B185" s="1083" t="s">
        <v>492</v>
      </c>
      <c r="C185" s="280" t="s">
        <v>1341</v>
      </c>
      <c r="D185" s="280" t="s">
        <v>1364</v>
      </c>
      <c r="E185" s="1180">
        <v>8923</v>
      </c>
      <c r="F185" s="1180">
        <v>10261</v>
      </c>
      <c r="G185" s="1180">
        <v>11801</v>
      </c>
      <c r="H185" s="1180">
        <v>14161</v>
      </c>
      <c r="I185" s="1180">
        <v>18409</v>
      </c>
      <c r="J185" s="1180">
        <v>25773</v>
      </c>
      <c r="K185" s="1180">
        <v>25773</v>
      </c>
    </row>
    <row r="186" spans="1:11" ht="30.75" customHeight="1" x14ac:dyDescent="0.25">
      <c r="A186" s="280"/>
      <c r="B186" s="1083" t="s">
        <v>495</v>
      </c>
      <c r="C186" s="280" t="s">
        <v>1341</v>
      </c>
      <c r="D186" s="280" t="s">
        <v>1295</v>
      </c>
      <c r="E186" s="1180">
        <v>150</v>
      </c>
      <c r="F186" s="1180">
        <v>200</v>
      </c>
      <c r="G186" s="1180">
        <v>300</v>
      </c>
      <c r="H186" s="1180">
        <v>350</v>
      </c>
      <c r="I186" s="1180">
        <v>400</v>
      </c>
      <c r="J186" s="1180">
        <v>600</v>
      </c>
      <c r="K186" s="1180">
        <v>8923</v>
      </c>
    </row>
    <row r="187" spans="1:11" ht="30.75" customHeight="1" x14ac:dyDescent="0.25">
      <c r="A187" s="291"/>
      <c r="B187" s="1083" t="s">
        <v>498</v>
      </c>
      <c r="C187" s="280" t="s">
        <v>1341</v>
      </c>
      <c r="D187" s="280" t="s">
        <v>1365</v>
      </c>
      <c r="E187" s="280">
        <v>44</v>
      </c>
      <c r="F187" s="280">
        <v>44</v>
      </c>
      <c r="G187" s="280">
        <v>56</v>
      </c>
      <c r="H187" s="280">
        <v>64</v>
      </c>
      <c r="I187" s="280">
        <v>748</v>
      </c>
      <c r="J187" s="280">
        <v>81</v>
      </c>
      <c r="K187" s="280">
        <v>81</v>
      </c>
    </row>
    <row r="188" spans="1:11" ht="19.5" customHeight="1" x14ac:dyDescent="0.25">
      <c r="A188" s="1101" t="s">
        <v>502</v>
      </c>
      <c r="B188" s="1539" t="s">
        <v>1366</v>
      </c>
      <c r="C188" s="1540"/>
      <c r="D188" s="1540"/>
      <c r="E188" s="1540"/>
      <c r="F188" s="1540"/>
      <c r="G188" s="1540"/>
      <c r="H188" s="1540"/>
      <c r="I188" s="1540"/>
      <c r="J188" s="1540"/>
      <c r="K188" s="1541"/>
    </row>
    <row r="189" spans="1:11" ht="26.25" customHeight="1" x14ac:dyDescent="0.25">
      <c r="A189" s="1101" t="s">
        <v>504</v>
      </c>
      <c r="B189" s="1539" t="s">
        <v>1367</v>
      </c>
      <c r="C189" s="1540"/>
      <c r="D189" s="1540"/>
      <c r="E189" s="1540"/>
      <c r="F189" s="1540"/>
      <c r="G189" s="1540"/>
      <c r="H189" s="1540"/>
      <c r="I189" s="1540"/>
      <c r="J189" s="1540"/>
      <c r="K189" s="1541"/>
    </row>
    <row r="190" spans="1:11" ht="25.5" x14ac:dyDescent="0.25">
      <c r="A190" s="123"/>
      <c r="B190" s="1085" t="s">
        <v>1368</v>
      </c>
      <c r="C190" s="153" t="s">
        <v>511</v>
      </c>
      <c r="D190" s="153" t="s">
        <v>1271</v>
      </c>
      <c r="E190" s="1109">
        <v>50</v>
      </c>
      <c r="F190" s="1109">
        <v>60</v>
      </c>
      <c r="G190" s="1109">
        <v>70</v>
      </c>
      <c r="H190" s="1109">
        <v>80</v>
      </c>
      <c r="I190" s="1109">
        <v>90</v>
      </c>
      <c r="J190" s="1109">
        <v>90</v>
      </c>
      <c r="K190" s="1109">
        <v>90</v>
      </c>
    </row>
    <row r="191" spans="1:11" ht="25.5" x14ac:dyDescent="0.25">
      <c r="A191" s="123"/>
      <c r="B191" s="1085" t="s">
        <v>1369</v>
      </c>
      <c r="C191" s="153" t="s">
        <v>511</v>
      </c>
      <c r="D191" s="153" t="s">
        <v>1271</v>
      </c>
      <c r="E191" s="1109">
        <v>50</v>
      </c>
      <c r="F191" s="1109">
        <v>60</v>
      </c>
      <c r="G191" s="1109">
        <v>70</v>
      </c>
      <c r="H191" s="1109">
        <v>80</v>
      </c>
      <c r="I191" s="1109">
        <v>90</v>
      </c>
      <c r="J191" s="1109">
        <v>90</v>
      </c>
      <c r="K191" s="1109">
        <v>90</v>
      </c>
    </row>
    <row r="192" spans="1:11" ht="25.5" x14ac:dyDescent="0.25">
      <c r="A192" s="123"/>
      <c r="B192" s="1085" t="s">
        <v>1370</v>
      </c>
      <c r="C192" s="153" t="s">
        <v>511</v>
      </c>
      <c r="D192" s="153" t="s">
        <v>1271</v>
      </c>
      <c r="E192" s="1109">
        <v>70</v>
      </c>
      <c r="F192" s="1109">
        <v>75</v>
      </c>
      <c r="G192" s="1109">
        <v>80</v>
      </c>
      <c r="H192" s="1109">
        <v>80</v>
      </c>
      <c r="I192" s="1109">
        <v>90</v>
      </c>
      <c r="J192" s="1109">
        <v>90</v>
      </c>
      <c r="K192" s="1109">
        <v>90</v>
      </c>
    </row>
    <row r="193" spans="1:11" ht="25.5" x14ac:dyDescent="0.25">
      <c r="A193" s="123"/>
      <c r="B193" s="1085" t="s">
        <v>514</v>
      </c>
      <c r="C193" s="153" t="s">
        <v>533</v>
      </c>
      <c r="D193" s="153" t="s">
        <v>1271</v>
      </c>
      <c r="E193" s="1109">
        <v>50</v>
      </c>
      <c r="F193" s="1109">
        <v>40</v>
      </c>
      <c r="G193" s="1109">
        <v>60</v>
      </c>
      <c r="H193" s="1109">
        <v>70</v>
      </c>
      <c r="I193" s="1109">
        <v>75</v>
      </c>
      <c r="J193" s="1109">
        <v>80</v>
      </c>
      <c r="K193" s="1109">
        <v>80</v>
      </c>
    </row>
    <row r="194" spans="1:11" ht="51" x14ac:dyDescent="0.25">
      <c r="A194" s="123"/>
      <c r="B194" s="1085" t="s">
        <v>515</v>
      </c>
      <c r="C194" s="153" t="s">
        <v>511</v>
      </c>
      <c r="D194" s="153" t="s">
        <v>1271</v>
      </c>
      <c r="E194" s="1181">
        <v>100</v>
      </c>
      <c r="F194" s="1181">
        <v>100</v>
      </c>
      <c r="G194" s="1181">
        <v>100</v>
      </c>
      <c r="H194" s="1181">
        <v>100</v>
      </c>
      <c r="I194" s="1181">
        <v>100</v>
      </c>
      <c r="J194" s="1181">
        <v>100</v>
      </c>
      <c r="K194" s="1181">
        <v>100</v>
      </c>
    </row>
    <row r="195" spans="1:11" ht="63.75" x14ac:dyDescent="0.25">
      <c r="A195" s="123"/>
      <c r="B195" s="1085" t="s">
        <v>517</v>
      </c>
      <c r="C195" s="153" t="s">
        <v>511</v>
      </c>
      <c r="D195" s="153" t="s">
        <v>1271</v>
      </c>
      <c r="E195" s="1181">
        <v>85</v>
      </c>
      <c r="F195" s="1181">
        <v>88</v>
      </c>
      <c r="G195" s="1181">
        <v>90</v>
      </c>
      <c r="H195" s="1181">
        <v>92</v>
      </c>
      <c r="I195" s="1181">
        <v>95</v>
      </c>
      <c r="J195" s="1181">
        <v>95</v>
      </c>
      <c r="K195" s="1181">
        <v>95</v>
      </c>
    </row>
    <row r="196" spans="1:11" ht="25.5" x14ac:dyDescent="0.25">
      <c r="A196" s="123"/>
      <c r="B196" s="1085" t="s">
        <v>518</v>
      </c>
      <c r="C196" s="153" t="s">
        <v>511</v>
      </c>
      <c r="D196" s="153" t="s">
        <v>1271</v>
      </c>
      <c r="E196" s="1181">
        <v>90</v>
      </c>
      <c r="F196" s="1181">
        <v>93</v>
      </c>
      <c r="G196" s="1181">
        <v>95</v>
      </c>
      <c r="H196" s="1181">
        <v>95</v>
      </c>
      <c r="I196" s="1181">
        <v>95</v>
      </c>
      <c r="J196" s="1181">
        <v>95</v>
      </c>
      <c r="K196" s="1181">
        <v>95</v>
      </c>
    </row>
    <row r="197" spans="1:11" ht="25.5" x14ac:dyDescent="0.25">
      <c r="A197" s="123"/>
      <c r="B197" s="1085" t="s">
        <v>519</v>
      </c>
      <c r="C197" s="153" t="s">
        <v>511</v>
      </c>
      <c r="D197" s="153" t="s">
        <v>1271</v>
      </c>
      <c r="E197" s="1181">
        <v>80</v>
      </c>
      <c r="F197" s="1181">
        <v>85</v>
      </c>
      <c r="G197" s="1181">
        <v>90</v>
      </c>
      <c r="H197" s="1181">
        <v>95</v>
      </c>
      <c r="I197" s="1181">
        <v>95</v>
      </c>
      <c r="J197" s="1181">
        <v>95</v>
      </c>
      <c r="K197" s="1181">
        <v>95</v>
      </c>
    </row>
    <row r="198" spans="1:11" ht="25.5" x14ac:dyDescent="0.25">
      <c r="A198" s="123"/>
      <c r="B198" s="1085" t="s">
        <v>520</v>
      </c>
      <c r="C198" s="153" t="s">
        <v>511</v>
      </c>
      <c r="D198" s="153" t="s">
        <v>1271</v>
      </c>
      <c r="E198" s="1181">
        <v>80</v>
      </c>
      <c r="F198" s="1181">
        <v>85</v>
      </c>
      <c r="G198" s="1181">
        <v>90</v>
      </c>
      <c r="H198" s="1181">
        <v>93</v>
      </c>
      <c r="I198" s="1181">
        <v>95</v>
      </c>
      <c r="J198" s="1181">
        <v>95</v>
      </c>
      <c r="K198" s="1181">
        <v>95</v>
      </c>
    </row>
    <row r="199" spans="1:11" ht="38.25" x14ac:dyDescent="0.25">
      <c r="A199" s="123"/>
      <c r="B199" s="1085" t="s">
        <v>521</v>
      </c>
      <c r="C199" s="153" t="s">
        <v>511</v>
      </c>
      <c r="D199" s="153" t="s">
        <v>1271</v>
      </c>
      <c r="E199" s="1181">
        <v>90</v>
      </c>
      <c r="F199" s="1181">
        <v>90</v>
      </c>
      <c r="G199" s="1181">
        <v>100</v>
      </c>
      <c r="H199" s="1181">
        <v>100</v>
      </c>
      <c r="I199" s="1181">
        <v>100</v>
      </c>
      <c r="J199" s="1181">
        <v>100</v>
      </c>
      <c r="K199" s="1181">
        <v>100</v>
      </c>
    </row>
    <row r="200" spans="1:11" ht="25.5" x14ac:dyDescent="0.25">
      <c r="A200" s="123"/>
      <c r="B200" s="1085" t="s">
        <v>522</v>
      </c>
      <c r="C200" s="153" t="s">
        <v>511</v>
      </c>
      <c r="D200" s="153" t="s">
        <v>1271</v>
      </c>
      <c r="E200" s="1181">
        <v>85</v>
      </c>
      <c r="F200" s="1181">
        <v>87</v>
      </c>
      <c r="G200" s="1181">
        <v>90</v>
      </c>
      <c r="H200" s="1181">
        <v>93</v>
      </c>
      <c r="I200" s="1181">
        <v>95</v>
      </c>
      <c r="J200" s="1181">
        <v>95</v>
      </c>
      <c r="K200" s="1181">
        <v>95</v>
      </c>
    </row>
    <row r="201" spans="1:11" ht="38.25" x14ac:dyDescent="0.25">
      <c r="A201" s="123"/>
      <c r="B201" s="1085" t="s">
        <v>523</v>
      </c>
      <c r="C201" s="153" t="s">
        <v>511</v>
      </c>
      <c r="D201" s="153" t="s">
        <v>1271</v>
      </c>
      <c r="E201" s="1181">
        <v>60</v>
      </c>
      <c r="F201" s="1181">
        <v>70</v>
      </c>
      <c r="G201" s="1181">
        <v>80</v>
      </c>
      <c r="H201" s="1181">
        <v>90</v>
      </c>
      <c r="I201" s="1181">
        <v>100</v>
      </c>
      <c r="J201" s="1181">
        <v>100</v>
      </c>
      <c r="K201" s="1181">
        <v>100</v>
      </c>
    </row>
    <row r="202" spans="1:11" ht="25.5" x14ac:dyDescent="0.25">
      <c r="A202" s="123"/>
      <c r="B202" s="1085" t="s">
        <v>524</v>
      </c>
      <c r="C202" s="153" t="s">
        <v>511</v>
      </c>
      <c r="D202" s="153" t="s">
        <v>1271</v>
      </c>
      <c r="E202" s="1181">
        <v>55</v>
      </c>
      <c r="F202" s="1181">
        <v>60</v>
      </c>
      <c r="G202" s="1181">
        <v>70</v>
      </c>
      <c r="H202" s="1181">
        <v>75</v>
      </c>
      <c r="I202" s="1181">
        <v>80</v>
      </c>
      <c r="J202" s="1181">
        <v>85</v>
      </c>
      <c r="K202" s="1181">
        <v>85</v>
      </c>
    </row>
    <row r="203" spans="1:11" ht="21.75" customHeight="1" x14ac:dyDescent="0.25">
      <c r="A203" s="123"/>
      <c r="B203" s="1085" t="s">
        <v>1371</v>
      </c>
      <c r="C203" s="153" t="s">
        <v>511</v>
      </c>
      <c r="D203" s="153" t="s">
        <v>1271</v>
      </c>
      <c r="E203" s="1181">
        <v>70</v>
      </c>
      <c r="F203" s="1181">
        <v>75</v>
      </c>
      <c r="G203" s="1181">
        <v>80</v>
      </c>
      <c r="H203" s="1181">
        <v>85</v>
      </c>
      <c r="I203" s="1181">
        <v>85</v>
      </c>
      <c r="J203" s="1181">
        <v>85</v>
      </c>
      <c r="K203" s="1181">
        <v>85</v>
      </c>
    </row>
    <row r="204" spans="1:11" ht="25.5" x14ac:dyDescent="0.25">
      <c r="A204" s="123"/>
      <c r="B204" s="1086" t="s">
        <v>526</v>
      </c>
      <c r="C204" s="153" t="s">
        <v>511</v>
      </c>
      <c r="D204" s="153" t="s">
        <v>1271</v>
      </c>
      <c r="E204" s="286">
        <v>20</v>
      </c>
      <c r="F204" s="286">
        <v>19</v>
      </c>
      <c r="G204" s="286">
        <v>18</v>
      </c>
      <c r="H204" s="286">
        <v>17</v>
      </c>
      <c r="I204" s="286">
        <v>16</v>
      </c>
      <c r="J204" s="286">
        <v>15</v>
      </c>
      <c r="K204" s="286">
        <v>15</v>
      </c>
    </row>
    <row r="205" spans="1:11" ht="38.25" x14ac:dyDescent="0.25">
      <c r="A205" s="123"/>
      <c r="B205" s="1086" t="s">
        <v>528</v>
      </c>
      <c r="C205" s="153" t="s">
        <v>511</v>
      </c>
      <c r="D205" s="153" t="s">
        <v>1271</v>
      </c>
      <c r="E205" s="286">
        <v>15</v>
      </c>
      <c r="F205" s="286">
        <v>15</v>
      </c>
      <c r="G205" s="286">
        <v>15</v>
      </c>
      <c r="H205" s="286">
        <v>15</v>
      </c>
      <c r="I205" s="286">
        <v>15</v>
      </c>
      <c r="J205" s="286">
        <v>15</v>
      </c>
      <c r="K205" s="286">
        <v>15</v>
      </c>
    </row>
    <row r="206" spans="1:11" ht="51" x14ac:dyDescent="0.25">
      <c r="A206" s="123"/>
      <c r="B206" s="1182" t="s">
        <v>1372</v>
      </c>
      <c r="C206" s="25" t="s">
        <v>533</v>
      </c>
      <c r="D206" s="153" t="s">
        <v>1271</v>
      </c>
      <c r="E206" s="1113" t="s">
        <v>1373</v>
      </c>
      <c r="F206" s="37" t="s">
        <v>1374</v>
      </c>
      <c r="G206" s="273">
        <v>35</v>
      </c>
      <c r="H206" s="37" t="s">
        <v>1375</v>
      </c>
      <c r="I206" s="37" t="s">
        <v>1376</v>
      </c>
      <c r="J206" s="37" t="s">
        <v>1377</v>
      </c>
      <c r="K206" s="37" t="s">
        <v>1377</v>
      </c>
    </row>
    <row r="207" spans="1:11" ht="25.5" x14ac:dyDescent="0.25">
      <c r="A207" s="123"/>
      <c r="B207" s="1086" t="s">
        <v>534</v>
      </c>
      <c r="C207" s="153" t="s">
        <v>511</v>
      </c>
      <c r="D207" s="153" t="s">
        <v>1271</v>
      </c>
      <c r="E207" s="1181">
        <v>40</v>
      </c>
      <c r="F207" s="1181">
        <v>45</v>
      </c>
      <c r="G207" s="1181">
        <v>50</v>
      </c>
      <c r="H207" s="1181">
        <v>60</v>
      </c>
      <c r="I207" s="1181">
        <v>70</v>
      </c>
      <c r="J207" s="1181">
        <v>80</v>
      </c>
      <c r="K207" s="1181">
        <v>80</v>
      </c>
    </row>
    <row r="208" spans="1:11" ht="25.5" x14ac:dyDescent="0.25">
      <c r="A208" s="123"/>
      <c r="B208" s="1086" t="s">
        <v>537</v>
      </c>
      <c r="C208" s="153" t="s">
        <v>533</v>
      </c>
      <c r="D208" s="153" t="s">
        <v>1832</v>
      </c>
      <c r="E208" s="1181">
        <v>24</v>
      </c>
      <c r="F208" s="1181">
        <v>24</v>
      </c>
      <c r="G208" s="1181">
        <v>24</v>
      </c>
      <c r="H208" s="1181">
        <v>24</v>
      </c>
      <c r="I208" s="1181">
        <v>24</v>
      </c>
      <c r="J208" s="1181">
        <v>24</v>
      </c>
      <c r="K208" s="1181">
        <v>24</v>
      </c>
    </row>
    <row r="209" spans="1:11" ht="51" x14ac:dyDescent="0.25">
      <c r="A209" s="123"/>
      <c r="B209" s="1086" t="s">
        <v>538</v>
      </c>
      <c r="C209" s="25" t="s">
        <v>533</v>
      </c>
      <c r="D209" s="153" t="s">
        <v>1271</v>
      </c>
      <c r="E209" s="1111" t="s">
        <v>1378</v>
      </c>
      <c r="F209" s="1111" t="s">
        <v>1379</v>
      </c>
      <c r="G209" s="1113" t="s">
        <v>1380</v>
      </c>
      <c r="H209" s="1113" t="s">
        <v>1381</v>
      </c>
      <c r="I209" s="1109">
        <v>90</v>
      </c>
      <c r="J209" s="1109">
        <v>100</v>
      </c>
      <c r="K209" s="1109">
        <v>100</v>
      </c>
    </row>
    <row r="210" spans="1:11" ht="38.25" x14ac:dyDescent="0.25">
      <c r="A210" s="123"/>
      <c r="B210" s="1182" t="s">
        <v>541</v>
      </c>
      <c r="C210" s="25" t="s">
        <v>533</v>
      </c>
      <c r="D210" s="153" t="s">
        <v>1271</v>
      </c>
      <c r="E210" s="1111" t="s">
        <v>554</v>
      </c>
      <c r="F210" s="1111" t="s">
        <v>554</v>
      </c>
      <c r="G210" s="1111" t="s">
        <v>1382</v>
      </c>
      <c r="H210" s="1113" t="s">
        <v>1383</v>
      </c>
      <c r="I210" s="1113" t="s">
        <v>1384</v>
      </c>
      <c r="J210" s="1113" t="s">
        <v>1385</v>
      </c>
      <c r="K210" s="1113" t="s">
        <v>1385</v>
      </c>
    </row>
    <row r="211" spans="1:11" ht="63.75" x14ac:dyDescent="0.25">
      <c r="A211" s="123"/>
      <c r="B211" s="1182" t="s">
        <v>545</v>
      </c>
      <c r="C211" s="25" t="s">
        <v>533</v>
      </c>
      <c r="D211" s="25" t="s">
        <v>1386</v>
      </c>
      <c r="E211" s="25" t="s">
        <v>546</v>
      </c>
      <c r="F211" s="25" t="s">
        <v>546</v>
      </c>
      <c r="G211" s="25" t="s">
        <v>546</v>
      </c>
      <c r="H211" s="25" t="s">
        <v>546</v>
      </c>
      <c r="I211" s="25" t="s">
        <v>546</v>
      </c>
      <c r="J211" s="25" t="s">
        <v>546</v>
      </c>
      <c r="K211" s="25" t="s">
        <v>546</v>
      </c>
    </row>
    <row r="212" spans="1:11" ht="28.5" customHeight="1" x14ac:dyDescent="0.25">
      <c r="A212" s="123"/>
      <c r="B212" s="1182" t="s">
        <v>547</v>
      </c>
      <c r="C212" s="25" t="s">
        <v>533</v>
      </c>
      <c r="D212" s="25" t="s">
        <v>1387</v>
      </c>
      <c r="E212" s="1111" t="s">
        <v>1388</v>
      </c>
      <c r="F212" s="1111" t="s">
        <v>1389</v>
      </c>
      <c r="G212" s="1111" t="s">
        <v>1390</v>
      </c>
      <c r="H212" s="1111" t="s">
        <v>1391</v>
      </c>
      <c r="I212" s="1111" t="s">
        <v>1392</v>
      </c>
      <c r="J212" s="1111" t="s">
        <v>1393</v>
      </c>
      <c r="K212" s="1111" t="s">
        <v>1393</v>
      </c>
    </row>
    <row r="213" spans="1:11" ht="25.5" x14ac:dyDescent="0.25">
      <c r="A213" s="123"/>
      <c r="B213" s="1182" t="s">
        <v>550</v>
      </c>
      <c r="C213" s="25" t="s">
        <v>533</v>
      </c>
      <c r="D213" s="153" t="s">
        <v>1271</v>
      </c>
      <c r="E213" s="1111" t="s">
        <v>1394</v>
      </c>
      <c r="F213" s="1111" t="s">
        <v>1394</v>
      </c>
      <c r="G213" s="1111" t="s">
        <v>1395</v>
      </c>
      <c r="H213" s="1183">
        <v>44</v>
      </c>
      <c r="I213" s="1111" t="s">
        <v>1396</v>
      </c>
      <c r="J213" s="123" t="s">
        <v>1397</v>
      </c>
      <c r="K213" s="123" t="s">
        <v>1397</v>
      </c>
    </row>
    <row r="214" spans="1:11" ht="25.5" x14ac:dyDescent="0.25">
      <c r="A214" s="123"/>
      <c r="B214" s="1182" t="s">
        <v>553</v>
      </c>
      <c r="C214" s="25" t="s">
        <v>533</v>
      </c>
      <c r="D214" s="153" t="s">
        <v>1271</v>
      </c>
      <c r="E214" s="1111" t="s">
        <v>554</v>
      </c>
      <c r="F214" s="1111" t="s">
        <v>554</v>
      </c>
      <c r="G214" s="1111" t="s">
        <v>1382</v>
      </c>
      <c r="H214" s="1113" t="s">
        <v>1383</v>
      </c>
      <c r="I214" s="1113" t="s">
        <v>1384</v>
      </c>
      <c r="J214" s="1113" t="s">
        <v>1385</v>
      </c>
      <c r="K214" s="1113" t="s">
        <v>1385</v>
      </c>
    </row>
    <row r="215" spans="1:11" ht="25.5" x14ac:dyDescent="0.25">
      <c r="A215" s="123"/>
      <c r="B215" s="1182" t="s">
        <v>555</v>
      </c>
      <c r="C215" s="25" t="s">
        <v>533</v>
      </c>
      <c r="D215" s="1182"/>
      <c r="E215" s="1113" t="s">
        <v>1398</v>
      </c>
      <c r="F215" s="1113" t="s">
        <v>1398</v>
      </c>
      <c r="G215" s="1113" t="s">
        <v>1398</v>
      </c>
      <c r="H215" s="1113" t="s">
        <v>1398</v>
      </c>
      <c r="I215" s="1113" t="s">
        <v>1398</v>
      </c>
      <c r="J215" s="1111" t="s">
        <v>1399</v>
      </c>
      <c r="K215" s="1111" t="s">
        <v>1399</v>
      </c>
    </row>
    <row r="216" spans="1:11" ht="25.5" x14ac:dyDescent="0.25">
      <c r="A216" s="123"/>
      <c r="B216" s="1182" t="s">
        <v>559</v>
      </c>
      <c r="C216" s="25" t="s">
        <v>533</v>
      </c>
      <c r="D216" s="25" t="s">
        <v>1271</v>
      </c>
      <c r="E216" s="1113" t="s">
        <v>1400</v>
      </c>
      <c r="F216" s="37" t="s">
        <v>1401</v>
      </c>
      <c r="G216" s="37" t="s">
        <v>1402</v>
      </c>
      <c r="H216" s="37" t="s">
        <v>1403</v>
      </c>
      <c r="I216" s="37" t="s">
        <v>1404</v>
      </c>
      <c r="J216" s="37" t="s">
        <v>1405</v>
      </c>
      <c r="K216" s="37" t="s">
        <v>1405</v>
      </c>
    </row>
    <row r="217" spans="1:11" ht="25.5" x14ac:dyDescent="0.25">
      <c r="A217" s="123"/>
      <c r="B217" s="1182" t="s">
        <v>562</v>
      </c>
      <c r="C217" s="25" t="s">
        <v>533</v>
      </c>
      <c r="D217" s="25" t="s">
        <v>1271</v>
      </c>
      <c r="E217" s="1111" t="s">
        <v>1394</v>
      </c>
      <c r="F217" s="1111" t="s">
        <v>1394</v>
      </c>
      <c r="G217" s="37" t="s">
        <v>1392</v>
      </c>
      <c r="H217" s="37" t="s">
        <v>1390</v>
      </c>
      <c r="I217" s="37" t="s">
        <v>1389</v>
      </c>
      <c r="J217" s="37" t="s">
        <v>1406</v>
      </c>
      <c r="K217" s="37" t="s">
        <v>1406</v>
      </c>
    </row>
    <row r="218" spans="1:11" ht="25.5" x14ac:dyDescent="0.25">
      <c r="A218" s="123"/>
      <c r="B218" s="1086" t="s">
        <v>564</v>
      </c>
      <c r="C218" s="25" t="s">
        <v>533</v>
      </c>
      <c r="D218" s="25" t="s">
        <v>1271</v>
      </c>
      <c r="E218" s="1111" t="s">
        <v>1394</v>
      </c>
      <c r="F218" s="1111" t="s">
        <v>1394</v>
      </c>
      <c r="G218" s="1111" t="s">
        <v>1394</v>
      </c>
      <c r="H218" s="37" t="s">
        <v>1388</v>
      </c>
      <c r="I218" s="37" t="s">
        <v>1407</v>
      </c>
      <c r="J218" s="37" t="s">
        <v>1389</v>
      </c>
      <c r="K218" s="273">
        <v>100</v>
      </c>
    </row>
    <row r="219" spans="1:11" ht="38.25" x14ac:dyDescent="0.25">
      <c r="A219" s="123"/>
      <c r="B219" s="1086" t="s">
        <v>565</v>
      </c>
      <c r="C219" s="25" t="s">
        <v>533</v>
      </c>
      <c r="D219" s="25" t="s">
        <v>1271</v>
      </c>
      <c r="E219" s="1109">
        <v>100</v>
      </c>
      <c r="F219" s="1109">
        <v>100</v>
      </c>
      <c r="G219" s="1109">
        <v>100</v>
      </c>
      <c r="H219" s="1109">
        <v>100</v>
      </c>
      <c r="I219" s="1109">
        <v>100</v>
      </c>
      <c r="J219" s="1109">
        <v>100</v>
      </c>
      <c r="K219" s="1109">
        <v>100</v>
      </c>
    </row>
    <row r="220" spans="1:11" ht="21.75" customHeight="1" x14ac:dyDescent="0.25">
      <c r="A220" s="1101" t="s">
        <v>567</v>
      </c>
      <c r="B220" s="1539" t="s">
        <v>568</v>
      </c>
      <c r="C220" s="1540"/>
      <c r="D220" s="1540"/>
      <c r="E220" s="1540"/>
      <c r="F220" s="1540"/>
      <c r="G220" s="1540"/>
      <c r="H220" s="1540"/>
      <c r="I220" s="1540"/>
      <c r="J220" s="1540"/>
      <c r="K220" s="1541"/>
    </row>
    <row r="221" spans="1:11" ht="19.5" customHeight="1" x14ac:dyDescent="0.25">
      <c r="A221" s="123"/>
      <c r="B221" s="1086" t="s">
        <v>571</v>
      </c>
      <c r="C221" s="153" t="s">
        <v>511</v>
      </c>
      <c r="D221" s="25" t="s">
        <v>1408</v>
      </c>
      <c r="E221" s="272">
        <v>66</v>
      </c>
      <c r="F221" s="272">
        <v>67</v>
      </c>
      <c r="G221" s="272">
        <v>68</v>
      </c>
      <c r="H221" s="272">
        <v>69</v>
      </c>
      <c r="I221" s="272">
        <v>70</v>
      </c>
      <c r="J221" s="272">
        <v>72</v>
      </c>
      <c r="K221" s="272">
        <v>72</v>
      </c>
    </row>
    <row r="222" spans="1:11" ht="51" x14ac:dyDescent="0.25">
      <c r="A222" s="123"/>
      <c r="B222" s="1086" t="s">
        <v>575</v>
      </c>
      <c r="C222" s="153" t="s">
        <v>511</v>
      </c>
      <c r="D222" s="25" t="s">
        <v>1409</v>
      </c>
      <c r="E222" s="272">
        <v>34</v>
      </c>
      <c r="F222" s="272">
        <v>30</v>
      </c>
      <c r="G222" s="272">
        <v>24</v>
      </c>
      <c r="H222" s="272">
        <v>20</v>
      </c>
      <c r="I222" s="272">
        <v>19</v>
      </c>
      <c r="J222" s="272">
        <v>19</v>
      </c>
      <c r="K222" s="272">
        <v>19</v>
      </c>
    </row>
    <row r="223" spans="1:11" ht="51" x14ac:dyDescent="0.25">
      <c r="A223" s="123"/>
      <c r="B223" s="1085" t="s">
        <v>579</v>
      </c>
      <c r="C223" s="153" t="s">
        <v>511</v>
      </c>
      <c r="D223" s="25" t="s">
        <v>1410</v>
      </c>
      <c r="E223" s="272">
        <v>155</v>
      </c>
      <c r="F223" s="272">
        <v>140</v>
      </c>
      <c r="G223" s="272">
        <v>120</v>
      </c>
      <c r="H223" s="272">
        <v>110</v>
      </c>
      <c r="I223" s="272">
        <v>102</v>
      </c>
      <c r="J223" s="272">
        <v>100</v>
      </c>
      <c r="K223" s="272">
        <v>100</v>
      </c>
    </row>
    <row r="224" spans="1:11" ht="38.25" x14ac:dyDescent="0.25">
      <c r="A224" s="123"/>
      <c r="B224" s="1085" t="s">
        <v>583</v>
      </c>
      <c r="C224" s="153" t="s">
        <v>511</v>
      </c>
      <c r="D224" s="153" t="s">
        <v>1271</v>
      </c>
      <c r="E224" s="1181">
        <v>85</v>
      </c>
      <c r="F224" s="1181">
        <v>87</v>
      </c>
      <c r="G224" s="1181">
        <v>90</v>
      </c>
      <c r="H224" s="1181">
        <v>93</v>
      </c>
      <c r="I224" s="1181">
        <v>95</v>
      </c>
      <c r="J224" s="1181">
        <v>95</v>
      </c>
      <c r="K224" s="1181">
        <v>95</v>
      </c>
    </row>
    <row r="225" spans="1:11" ht="38.25" x14ac:dyDescent="0.25">
      <c r="A225" s="123"/>
      <c r="B225" s="1085" t="s">
        <v>584</v>
      </c>
      <c r="C225" s="153" t="s">
        <v>511</v>
      </c>
      <c r="D225" s="153" t="s">
        <v>1271</v>
      </c>
      <c r="E225" s="1181">
        <v>75</v>
      </c>
      <c r="F225" s="1181">
        <v>78</v>
      </c>
      <c r="G225" s="1181">
        <v>80</v>
      </c>
      <c r="H225" s="1181">
        <v>83</v>
      </c>
      <c r="I225" s="1181">
        <v>85</v>
      </c>
      <c r="J225" s="1181">
        <v>90</v>
      </c>
      <c r="K225" s="1181">
        <v>90</v>
      </c>
    </row>
    <row r="226" spans="1:11" ht="25.5" x14ac:dyDescent="0.25">
      <c r="A226" s="123"/>
      <c r="B226" s="1085" t="s">
        <v>585</v>
      </c>
      <c r="C226" s="153" t="s">
        <v>511</v>
      </c>
      <c r="D226" s="153" t="s">
        <v>1271</v>
      </c>
      <c r="E226" s="1181">
        <v>100</v>
      </c>
      <c r="F226" s="1181">
        <v>100</v>
      </c>
      <c r="G226" s="1181">
        <v>100</v>
      </c>
      <c r="H226" s="1181">
        <v>100</v>
      </c>
      <c r="I226" s="1181">
        <v>100</v>
      </c>
      <c r="J226" s="1181">
        <v>100</v>
      </c>
      <c r="K226" s="1181">
        <v>100</v>
      </c>
    </row>
    <row r="227" spans="1:11" ht="38.25" x14ac:dyDescent="0.25">
      <c r="A227" s="123"/>
      <c r="B227" s="1085" t="s">
        <v>587</v>
      </c>
      <c r="C227" s="153" t="s">
        <v>511</v>
      </c>
      <c r="D227" s="153" t="s">
        <v>1271</v>
      </c>
      <c r="E227" s="1181">
        <v>50</v>
      </c>
      <c r="F227" s="1181">
        <v>60</v>
      </c>
      <c r="G227" s="1181">
        <v>70</v>
      </c>
      <c r="H227" s="1181">
        <v>80</v>
      </c>
      <c r="I227" s="1181">
        <v>90</v>
      </c>
      <c r="J227" s="1181">
        <v>100</v>
      </c>
      <c r="K227" s="1181">
        <v>100</v>
      </c>
    </row>
    <row r="228" spans="1:11" ht="51" x14ac:dyDescent="0.25">
      <c r="A228" s="123"/>
      <c r="B228" s="1085" t="s">
        <v>589</v>
      </c>
      <c r="C228" s="153" t="s">
        <v>511</v>
      </c>
      <c r="D228" s="153" t="s">
        <v>1271</v>
      </c>
      <c r="E228" s="1181">
        <v>100</v>
      </c>
      <c r="F228" s="1181">
        <v>100</v>
      </c>
      <c r="G228" s="1181">
        <v>100</v>
      </c>
      <c r="H228" s="1181">
        <v>100</v>
      </c>
      <c r="I228" s="1181">
        <v>100</v>
      </c>
      <c r="J228" s="1181">
        <v>100</v>
      </c>
      <c r="K228" s="1181">
        <v>100</v>
      </c>
    </row>
    <row r="229" spans="1:11" ht="63.75" x14ac:dyDescent="0.25">
      <c r="A229" s="123"/>
      <c r="B229" s="1085" t="s">
        <v>590</v>
      </c>
      <c r="C229" s="153" t="s">
        <v>511</v>
      </c>
      <c r="D229" s="153" t="s">
        <v>1271</v>
      </c>
      <c r="E229" s="1181">
        <v>10</v>
      </c>
      <c r="F229" s="1181">
        <v>15</v>
      </c>
      <c r="G229" s="1181">
        <v>20</v>
      </c>
      <c r="H229" s="1181">
        <v>20</v>
      </c>
      <c r="I229" s="1181">
        <v>30</v>
      </c>
      <c r="J229" s="1181">
        <v>40</v>
      </c>
      <c r="K229" s="1181">
        <v>40</v>
      </c>
    </row>
    <row r="230" spans="1:11" x14ac:dyDescent="0.25">
      <c r="A230" s="1101" t="s">
        <v>591</v>
      </c>
      <c r="B230" s="1539" t="s">
        <v>1411</v>
      </c>
      <c r="C230" s="1540"/>
      <c r="D230" s="1540"/>
      <c r="E230" s="1540"/>
      <c r="F230" s="1540"/>
      <c r="G230" s="1540"/>
      <c r="H230" s="1540"/>
      <c r="I230" s="1540"/>
      <c r="J230" s="1540"/>
      <c r="K230" s="1541"/>
    </row>
    <row r="231" spans="1:11" ht="25.5" x14ac:dyDescent="0.25">
      <c r="A231" s="123"/>
      <c r="B231" s="1085" t="s">
        <v>595</v>
      </c>
      <c r="C231" s="153" t="s">
        <v>511</v>
      </c>
      <c r="D231" s="153" t="s">
        <v>1271</v>
      </c>
      <c r="E231" s="1181">
        <v>40</v>
      </c>
      <c r="F231" s="1181">
        <v>45</v>
      </c>
      <c r="G231" s="1181">
        <v>50</v>
      </c>
      <c r="H231" s="1181">
        <v>55</v>
      </c>
      <c r="I231" s="1181">
        <v>60</v>
      </c>
      <c r="J231" s="1181">
        <v>70</v>
      </c>
      <c r="K231" s="1181">
        <v>70</v>
      </c>
    </row>
    <row r="232" spans="1:11" ht="38.25" x14ac:dyDescent="0.25">
      <c r="A232" s="123"/>
      <c r="B232" s="1085" t="s">
        <v>597</v>
      </c>
      <c r="C232" s="153" t="s">
        <v>511</v>
      </c>
      <c r="D232" s="153" t="s">
        <v>1271</v>
      </c>
      <c r="E232" s="1181">
        <v>40</v>
      </c>
      <c r="F232" s="1181">
        <v>45</v>
      </c>
      <c r="G232" s="1181">
        <v>50</v>
      </c>
      <c r="H232" s="1181">
        <v>55</v>
      </c>
      <c r="I232" s="1181">
        <v>60</v>
      </c>
      <c r="J232" s="1181">
        <v>70</v>
      </c>
      <c r="K232" s="1181">
        <v>70</v>
      </c>
    </row>
    <row r="233" spans="1:11" ht="38.25" x14ac:dyDescent="0.25">
      <c r="A233" s="123"/>
      <c r="B233" s="1085" t="s">
        <v>599</v>
      </c>
      <c r="C233" s="153" t="s">
        <v>511</v>
      </c>
      <c r="D233" s="153" t="s">
        <v>1271</v>
      </c>
      <c r="E233" s="1181">
        <v>30</v>
      </c>
      <c r="F233" s="1181">
        <v>40</v>
      </c>
      <c r="G233" s="1181">
        <v>50</v>
      </c>
      <c r="H233" s="1181">
        <v>60</v>
      </c>
      <c r="I233" s="1181">
        <v>70</v>
      </c>
      <c r="J233" s="1181">
        <v>80</v>
      </c>
      <c r="K233" s="1181">
        <v>80</v>
      </c>
    </row>
    <row r="234" spans="1:11" ht="63.75" x14ac:dyDescent="0.25">
      <c r="A234" s="25"/>
      <c r="B234" s="1086" t="s">
        <v>1412</v>
      </c>
      <c r="C234" s="25" t="s">
        <v>1413</v>
      </c>
      <c r="D234" s="25" t="s">
        <v>1414</v>
      </c>
      <c r="E234" s="25">
        <v>6</v>
      </c>
      <c r="F234" s="25">
        <v>8</v>
      </c>
      <c r="G234" s="25">
        <v>12</v>
      </c>
      <c r="H234" s="25">
        <v>15</v>
      </c>
      <c r="I234" s="25">
        <v>18</v>
      </c>
      <c r="J234" s="25">
        <v>22</v>
      </c>
      <c r="K234" s="25">
        <v>22</v>
      </c>
    </row>
    <row r="235" spans="1:11" ht="51" x14ac:dyDescent="0.25">
      <c r="A235" s="25"/>
      <c r="B235" s="1086" t="s">
        <v>1415</v>
      </c>
      <c r="C235" s="25" t="s">
        <v>1413</v>
      </c>
      <c r="D235" s="25" t="s">
        <v>1416</v>
      </c>
      <c r="E235" s="25">
        <v>9</v>
      </c>
      <c r="F235" s="25">
        <v>12</v>
      </c>
      <c r="G235" s="25">
        <v>15</v>
      </c>
      <c r="H235" s="25">
        <v>18</v>
      </c>
      <c r="I235" s="25">
        <v>21</v>
      </c>
      <c r="J235" s="25">
        <v>24</v>
      </c>
      <c r="K235" s="25">
        <v>24</v>
      </c>
    </row>
    <row r="236" spans="1:11" ht="38.25" x14ac:dyDescent="0.25">
      <c r="A236" s="25"/>
      <c r="B236" s="1086" t="s">
        <v>1417</v>
      </c>
      <c r="C236" s="25" t="s">
        <v>1413</v>
      </c>
      <c r="D236" s="25" t="s">
        <v>1418</v>
      </c>
      <c r="E236" s="25">
        <v>7</v>
      </c>
      <c r="F236" s="25">
        <v>10</v>
      </c>
      <c r="G236" s="25">
        <v>13</v>
      </c>
      <c r="H236" s="25">
        <v>16</v>
      </c>
      <c r="I236" s="25">
        <v>19</v>
      </c>
      <c r="J236" s="25">
        <v>21</v>
      </c>
      <c r="K236" s="25">
        <v>21</v>
      </c>
    </row>
    <row r="237" spans="1:11" ht="24.75" customHeight="1" x14ac:dyDescent="0.25">
      <c r="A237" s="1101" t="s">
        <v>622</v>
      </c>
      <c r="B237" s="1539" t="s">
        <v>623</v>
      </c>
      <c r="C237" s="1540"/>
      <c r="D237" s="1540"/>
      <c r="E237" s="1540"/>
      <c r="F237" s="1540"/>
      <c r="G237" s="1540"/>
      <c r="H237" s="1540"/>
      <c r="I237" s="1540"/>
      <c r="J237" s="1540"/>
      <c r="K237" s="1541"/>
    </row>
    <row r="238" spans="1:11" ht="25.5" x14ac:dyDescent="0.25">
      <c r="A238" s="123"/>
      <c r="B238" s="1084" t="s">
        <v>626</v>
      </c>
      <c r="C238" s="287" t="s">
        <v>631</v>
      </c>
      <c r="D238" s="280" t="s">
        <v>1271</v>
      </c>
      <c r="E238" s="1111" t="s">
        <v>1419</v>
      </c>
      <c r="F238" s="123" t="s">
        <v>1420</v>
      </c>
      <c r="G238" s="123" t="s">
        <v>1421</v>
      </c>
      <c r="H238" s="123" t="s">
        <v>1422</v>
      </c>
      <c r="I238" s="123" t="s">
        <v>1423</v>
      </c>
      <c r="J238" s="123" t="s">
        <v>1424</v>
      </c>
      <c r="K238" s="123" t="s">
        <v>1424</v>
      </c>
    </row>
    <row r="239" spans="1:11" ht="25.5" x14ac:dyDescent="0.25">
      <c r="A239" s="123"/>
      <c r="B239" s="288" t="s">
        <v>632</v>
      </c>
      <c r="C239" s="287" t="s">
        <v>631</v>
      </c>
      <c r="D239" s="280" t="s">
        <v>1271</v>
      </c>
      <c r="E239" s="123" t="s">
        <v>1425</v>
      </c>
      <c r="F239" s="123" t="s">
        <v>1426</v>
      </c>
      <c r="G239" s="123" t="s">
        <v>1427</v>
      </c>
      <c r="H239" s="123" t="s">
        <v>1428</v>
      </c>
      <c r="I239" s="123" t="s">
        <v>1429</v>
      </c>
      <c r="J239" s="123" t="s">
        <v>1429</v>
      </c>
      <c r="K239" s="123" t="s">
        <v>1429</v>
      </c>
    </row>
    <row r="240" spans="1:11" ht="38.25" x14ac:dyDescent="0.25">
      <c r="A240" s="123"/>
      <c r="B240" s="1084" t="s">
        <v>635</v>
      </c>
      <c r="C240" s="287" t="s">
        <v>631</v>
      </c>
      <c r="D240" s="280" t="s">
        <v>1271</v>
      </c>
      <c r="E240" s="123" t="s">
        <v>1430</v>
      </c>
      <c r="F240" s="123" t="s">
        <v>1431</v>
      </c>
      <c r="G240" s="123" t="s">
        <v>1432</v>
      </c>
      <c r="H240" s="123" t="s">
        <v>1433</v>
      </c>
      <c r="I240" s="123" t="s">
        <v>1434</v>
      </c>
      <c r="J240" s="123" t="s">
        <v>1435</v>
      </c>
      <c r="K240" s="123" t="s">
        <v>1435</v>
      </c>
    </row>
    <row r="241" spans="1:11" ht="38.25" x14ac:dyDescent="0.25">
      <c r="A241" s="123"/>
      <c r="B241" s="174" t="s">
        <v>638</v>
      </c>
      <c r="C241" s="287" t="s">
        <v>631</v>
      </c>
      <c r="D241" s="280" t="s">
        <v>1271</v>
      </c>
      <c r="E241" s="123" t="s">
        <v>1436</v>
      </c>
      <c r="F241" s="123" t="s">
        <v>1437</v>
      </c>
      <c r="G241" s="123" t="s">
        <v>1438</v>
      </c>
      <c r="H241" s="123" t="s">
        <v>1437</v>
      </c>
      <c r="I241" s="123" t="s">
        <v>1438</v>
      </c>
      <c r="J241" s="123" t="s">
        <v>1439</v>
      </c>
      <c r="K241" s="123" t="s">
        <v>1439</v>
      </c>
    </row>
    <row r="242" spans="1:11" ht="51" x14ac:dyDescent="0.25">
      <c r="A242" s="123"/>
      <c r="B242" s="174" t="s">
        <v>641</v>
      </c>
      <c r="C242" s="287" t="s">
        <v>631</v>
      </c>
      <c r="D242" s="280" t="s">
        <v>1271</v>
      </c>
      <c r="E242" s="123" t="s">
        <v>1440</v>
      </c>
      <c r="F242" s="123" t="s">
        <v>1441</v>
      </c>
      <c r="G242" s="123" t="s">
        <v>1442</v>
      </c>
      <c r="H242" s="123" t="s">
        <v>1443</v>
      </c>
      <c r="I242" s="123" t="s">
        <v>1444</v>
      </c>
      <c r="J242" s="123" t="s">
        <v>1445</v>
      </c>
      <c r="K242" s="123" t="s">
        <v>1445</v>
      </c>
    </row>
    <row r="243" spans="1:11" ht="63.75" x14ac:dyDescent="0.25">
      <c r="A243" s="123"/>
      <c r="B243" s="176" t="s">
        <v>1446</v>
      </c>
      <c r="C243" s="287" t="s">
        <v>631</v>
      </c>
      <c r="D243" s="289" t="s">
        <v>1447</v>
      </c>
      <c r="E243" s="1184">
        <v>4.3055555555555562E-2</v>
      </c>
      <c r="F243" s="1184">
        <f>E243</f>
        <v>4.3055555555555562E-2</v>
      </c>
      <c r="G243" s="1184">
        <f>F243</f>
        <v>4.3055555555555562E-2</v>
      </c>
      <c r="H243" s="1184">
        <f>G243</f>
        <v>4.3055555555555562E-2</v>
      </c>
      <c r="I243" s="1184">
        <f>H243</f>
        <v>4.3055555555555562E-2</v>
      </c>
      <c r="J243" s="1184">
        <f>I243</f>
        <v>4.3055555555555562E-2</v>
      </c>
      <c r="K243" s="1184">
        <v>4.2361111111111106E-2</v>
      </c>
    </row>
    <row r="244" spans="1:11" ht="38.25" x14ac:dyDescent="0.25">
      <c r="A244" s="123"/>
      <c r="B244" s="176" t="s">
        <v>646</v>
      </c>
      <c r="C244" s="287" t="s">
        <v>631</v>
      </c>
      <c r="D244" s="280" t="s">
        <v>1271</v>
      </c>
      <c r="E244" s="1109">
        <v>100</v>
      </c>
      <c r="F244" s="1109">
        <v>100</v>
      </c>
      <c r="G244" s="1109">
        <v>100</v>
      </c>
      <c r="H244" s="1109">
        <v>100</v>
      </c>
      <c r="I244" s="1109">
        <v>100</v>
      </c>
      <c r="J244" s="1109">
        <v>100</v>
      </c>
      <c r="K244" s="1109">
        <v>100</v>
      </c>
    </row>
    <row r="245" spans="1:11" ht="51" x14ac:dyDescent="0.25">
      <c r="A245" s="123"/>
      <c r="B245" s="176" t="s">
        <v>647</v>
      </c>
      <c r="C245" s="287" t="s">
        <v>631</v>
      </c>
      <c r="D245" s="280" t="s">
        <v>1271</v>
      </c>
      <c r="E245" s="1109">
        <v>100</v>
      </c>
      <c r="F245" s="1109">
        <v>100</v>
      </c>
      <c r="G245" s="1109">
        <v>100</v>
      </c>
      <c r="H245" s="1109">
        <v>100</v>
      </c>
      <c r="I245" s="1109">
        <v>100</v>
      </c>
      <c r="J245" s="1109">
        <v>100</v>
      </c>
      <c r="K245" s="1109">
        <v>100</v>
      </c>
    </row>
    <row r="246" spans="1:11" ht="25.5" x14ac:dyDescent="0.25">
      <c r="A246" s="123"/>
      <c r="B246" s="176" t="s">
        <v>648</v>
      </c>
      <c r="C246" s="287" t="s">
        <v>631</v>
      </c>
      <c r="D246" s="280" t="s">
        <v>1271</v>
      </c>
      <c r="E246" s="1185">
        <v>100</v>
      </c>
      <c r="F246" s="1109">
        <v>100</v>
      </c>
      <c r="G246" s="1109">
        <v>100</v>
      </c>
      <c r="H246" s="1109">
        <v>100</v>
      </c>
      <c r="I246" s="1109">
        <v>100</v>
      </c>
      <c r="J246" s="1109">
        <v>100</v>
      </c>
      <c r="K246" s="1109">
        <v>100</v>
      </c>
    </row>
    <row r="247" spans="1:11" ht="26.25" customHeight="1" x14ac:dyDescent="0.25">
      <c r="A247" s="123"/>
      <c r="B247" s="176" t="s">
        <v>1799</v>
      </c>
      <c r="C247" s="287" t="s">
        <v>631</v>
      </c>
      <c r="D247" s="280" t="s">
        <v>1271</v>
      </c>
      <c r="E247" s="1185">
        <v>20</v>
      </c>
      <c r="F247" s="1109">
        <v>20</v>
      </c>
      <c r="G247" s="1109">
        <v>30</v>
      </c>
      <c r="H247" s="1109">
        <v>45</v>
      </c>
      <c r="I247" s="1109">
        <v>60</v>
      </c>
      <c r="J247" s="1109">
        <v>70</v>
      </c>
      <c r="K247" s="1109">
        <v>70</v>
      </c>
    </row>
    <row r="248" spans="1:11" ht="25.5" customHeight="1" x14ac:dyDescent="0.25">
      <c r="A248" s="1101" t="s">
        <v>652</v>
      </c>
      <c r="B248" s="1539" t="s">
        <v>1448</v>
      </c>
      <c r="C248" s="1540"/>
      <c r="D248" s="1540"/>
      <c r="E248" s="1540"/>
      <c r="F248" s="1540"/>
      <c r="G248" s="1540"/>
      <c r="H248" s="1540"/>
      <c r="I248" s="1540"/>
      <c r="J248" s="1540"/>
      <c r="K248" s="1541"/>
    </row>
    <row r="249" spans="1:11" ht="28.5" customHeight="1" x14ac:dyDescent="0.25">
      <c r="A249" s="291"/>
      <c r="B249" s="1186" t="s">
        <v>1449</v>
      </c>
      <c r="C249" s="280" t="s">
        <v>661</v>
      </c>
      <c r="D249" s="280" t="s">
        <v>1271</v>
      </c>
      <c r="E249" s="1187">
        <v>12.76</v>
      </c>
      <c r="F249" s="291">
        <v>12.76</v>
      </c>
      <c r="G249" s="1188">
        <f>1.05*F249</f>
        <v>13.398</v>
      </c>
      <c r="H249" s="1188">
        <f>1.05*G249</f>
        <v>14.0679</v>
      </c>
      <c r="I249" s="1188">
        <f>1.05*H249</f>
        <v>14.771295</v>
      </c>
      <c r="J249" s="1188">
        <f>1.05*I249</f>
        <v>15.50985975</v>
      </c>
      <c r="K249" s="1188">
        <f>1.05*J249</f>
        <v>16.285352737500002</v>
      </c>
    </row>
    <row r="250" spans="1:11" ht="21.75" customHeight="1" x14ac:dyDescent="0.25">
      <c r="A250" s="291"/>
      <c r="B250" s="1186" t="s">
        <v>1450</v>
      </c>
      <c r="C250" s="280" t="s">
        <v>661</v>
      </c>
      <c r="D250" s="280" t="s">
        <v>1271</v>
      </c>
      <c r="E250" s="1187">
        <v>30.9</v>
      </c>
      <c r="F250" s="1188">
        <f>30.9*1.02</f>
        <v>31.518000000000001</v>
      </c>
      <c r="G250" s="1188">
        <f>1.02*F250</f>
        <v>32.148360000000004</v>
      </c>
      <c r="H250" s="1188">
        <f>1.02*G250</f>
        <v>32.791327200000005</v>
      </c>
      <c r="I250" s="1188">
        <f>1.02*H250</f>
        <v>33.447153744000005</v>
      </c>
      <c r="J250" s="1188">
        <f>1.02*I250</f>
        <v>34.116096818880003</v>
      </c>
      <c r="K250" s="1188">
        <f>1.02*J250</f>
        <v>34.7984187552576</v>
      </c>
    </row>
    <row r="251" spans="1:11" ht="22.5" customHeight="1" x14ac:dyDescent="0.25">
      <c r="A251" s="1551"/>
      <c r="B251" s="1186" t="s">
        <v>1451</v>
      </c>
      <c r="C251" s="280" t="s">
        <v>661</v>
      </c>
      <c r="D251" s="280" t="s">
        <v>1271</v>
      </c>
      <c r="E251" s="1187" t="s">
        <v>1452</v>
      </c>
      <c r="F251" s="1188" t="s">
        <v>1452</v>
      </c>
      <c r="G251" s="1188" t="s">
        <v>1453</v>
      </c>
      <c r="H251" s="1188" t="s">
        <v>1454</v>
      </c>
      <c r="I251" s="1188" t="s">
        <v>1455</v>
      </c>
      <c r="J251" s="1188" t="s">
        <v>1456</v>
      </c>
      <c r="K251" s="1188" t="s">
        <v>1457</v>
      </c>
    </row>
    <row r="252" spans="1:11" ht="19.5" customHeight="1" x14ac:dyDescent="0.25">
      <c r="A252" s="1551"/>
      <c r="B252" s="1186" t="s">
        <v>1458</v>
      </c>
      <c r="C252" s="280" t="s">
        <v>661</v>
      </c>
      <c r="D252" s="280" t="s">
        <v>1271</v>
      </c>
      <c r="E252" s="1187" t="s">
        <v>1459</v>
      </c>
      <c r="F252" s="1188" t="s">
        <v>1460</v>
      </c>
      <c r="G252" s="1188" t="s">
        <v>1461</v>
      </c>
      <c r="H252" s="1188" t="s">
        <v>1462</v>
      </c>
      <c r="I252" s="1188" t="s">
        <v>1463</v>
      </c>
      <c r="J252" s="1188" t="s">
        <v>1464</v>
      </c>
      <c r="K252" s="1188" t="s">
        <v>1465</v>
      </c>
    </row>
    <row r="253" spans="1:11" ht="21.75" customHeight="1" x14ac:dyDescent="0.25">
      <c r="A253" s="1551"/>
      <c r="B253" s="1153" t="s">
        <v>1466</v>
      </c>
      <c r="C253" s="280" t="s">
        <v>661</v>
      </c>
      <c r="D253" s="272" t="s">
        <v>1271</v>
      </c>
      <c r="E253" s="1152" t="s">
        <v>1467</v>
      </c>
      <c r="F253" s="1189" t="s">
        <v>1467</v>
      </c>
      <c r="G253" s="1189" t="s">
        <v>1468</v>
      </c>
      <c r="H253" s="1189" t="s">
        <v>1469</v>
      </c>
      <c r="I253" s="1189" t="s">
        <v>1470</v>
      </c>
      <c r="J253" s="1189" t="s">
        <v>1471</v>
      </c>
      <c r="K253" s="1189" t="s">
        <v>1472</v>
      </c>
    </row>
    <row r="254" spans="1:11" ht="20.25" customHeight="1" x14ac:dyDescent="0.25">
      <c r="A254" s="1551"/>
      <c r="B254" s="1186" t="s">
        <v>1473</v>
      </c>
      <c r="C254" s="280" t="s">
        <v>661</v>
      </c>
      <c r="D254" s="280" t="s">
        <v>1271</v>
      </c>
      <c r="E254" s="1188" t="s">
        <v>1474</v>
      </c>
      <c r="F254" s="1188" t="s">
        <v>1475</v>
      </c>
      <c r="G254" s="1190" t="s">
        <v>1476</v>
      </c>
      <c r="H254" s="1190" t="s">
        <v>1477</v>
      </c>
      <c r="I254" s="1190" t="s">
        <v>1478</v>
      </c>
      <c r="J254" s="1190" t="s">
        <v>1479</v>
      </c>
      <c r="K254" s="1190" t="s">
        <v>1480</v>
      </c>
    </row>
    <row r="255" spans="1:11" x14ac:dyDescent="0.25">
      <c r="A255" s="1551"/>
      <c r="B255" s="1186" t="s">
        <v>1481</v>
      </c>
      <c r="C255" s="280" t="s">
        <v>661</v>
      </c>
      <c r="D255" s="280" t="s">
        <v>1271</v>
      </c>
      <c r="E255" s="1191" t="s">
        <v>1482</v>
      </c>
      <c r="F255" s="1191" t="s">
        <v>1483</v>
      </c>
      <c r="G255" s="1191" t="s">
        <v>1484</v>
      </c>
      <c r="H255" s="1191" t="s">
        <v>1485</v>
      </c>
      <c r="I255" s="1191" t="s">
        <v>1486</v>
      </c>
      <c r="J255" s="1191" t="s">
        <v>1487</v>
      </c>
      <c r="K255" s="1191" t="s">
        <v>1488</v>
      </c>
    </row>
    <row r="256" spans="1:11" ht="20.25" customHeight="1" x14ac:dyDescent="0.25">
      <c r="A256" s="1551"/>
      <c r="B256" s="1186" t="s">
        <v>1489</v>
      </c>
      <c r="C256" s="280" t="s">
        <v>661</v>
      </c>
      <c r="D256" s="280" t="s">
        <v>1271</v>
      </c>
      <c r="E256" s="1191">
        <f>5767/6764*100</f>
        <v>85.260201064458897</v>
      </c>
      <c r="F256" s="1191">
        <f>5767/6764*100</f>
        <v>85.260201064458897</v>
      </c>
      <c r="G256" s="1191">
        <f>6667/7764*100</f>
        <v>85.87068521380732</v>
      </c>
      <c r="H256" s="1191">
        <f>7667/8864*100</f>
        <v>86.495938628158839</v>
      </c>
      <c r="I256" s="1191">
        <f>8667/9864*100</f>
        <v>87.864963503649633</v>
      </c>
      <c r="J256" s="1191">
        <f>9667/10864*100</f>
        <v>88.981958762886592</v>
      </c>
      <c r="K256" s="1191">
        <f>10667/11864*100</f>
        <v>89.910654079568445</v>
      </c>
    </row>
    <row r="257" spans="1:11" ht="25.5" x14ac:dyDescent="0.25">
      <c r="A257" s="1551"/>
      <c r="B257" s="1186" t="s">
        <v>1490</v>
      </c>
      <c r="C257" s="280" t="s">
        <v>661</v>
      </c>
      <c r="D257" s="280" t="s">
        <v>1271</v>
      </c>
      <c r="E257" s="1187" t="s">
        <v>1491</v>
      </c>
      <c r="F257" s="1188" t="s">
        <v>1492</v>
      </c>
      <c r="G257" s="1188" t="s">
        <v>1493</v>
      </c>
      <c r="H257" s="1188" t="s">
        <v>1494</v>
      </c>
      <c r="I257" s="1188" t="s">
        <v>1495</v>
      </c>
      <c r="J257" s="1188" t="s">
        <v>1496</v>
      </c>
      <c r="K257" s="1188" t="s">
        <v>1497</v>
      </c>
    </row>
    <row r="258" spans="1:11" ht="25.5" x14ac:dyDescent="0.25">
      <c r="A258" s="1551"/>
      <c r="B258" s="1186" t="s">
        <v>1498</v>
      </c>
      <c r="C258" s="280" t="s">
        <v>661</v>
      </c>
      <c r="D258" s="280" t="s">
        <v>1271</v>
      </c>
      <c r="E258" s="291" t="s">
        <v>1499</v>
      </c>
      <c r="F258" s="291" t="s">
        <v>1499</v>
      </c>
      <c r="G258" s="291" t="s">
        <v>1499</v>
      </c>
      <c r="H258" s="291" t="s">
        <v>1499</v>
      </c>
      <c r="I258" s="291" t="s">
        <v>1499</v>
      </c>
      <c r="J258" s="291" t="s">
        <v>1499</v>
      </c>
      <c r="K258" s="291" t="s">
        <v>1499</v>
      </c>
    </row>
    <row r="259" spans="1:11" ht="25.5" x14ac:dyDescent="0.25">
      <c r="A259" s="1551"/>
      <c r="B259" s="1186" t="s">
        <v>1500</v>
      </c>
      <c r="C259" s="280" t="s">
        <v>661</v>
      </c>
      <c r="D259" s="280" t="s">
        <v>1271</v>
      </c>
      <c r="E259" s="1187" t="s">
        <v>1501</v>
      </c>
      <c r="F259" s="1192" t="s">
        <v>1502</v>
      </c>
      <c r="G259" s="1192" t="s">
        <v>1502</v>
      </c>
      <c r="H259" s="1192" t="s">
        <v>1502</v>
      </c>
      <c r="I259" s="1192" t="s">
        <v>1502</v>
      </c>
      <c r="J259" s="1192" t="s">
        <v>1502</v>
      </c>
      <c r="K259" s="1192" t="s">
        <v>1502</v>
      </c>
    </row>
    <row r="260" spans="1:11" ht="38.25" x14ac:dyDescent="0.25">
      <c r="A260" s="291"/>
      <c r="B260" s="1186" t="s">
        <v>1503</v>
      </c>
      <c r="C260" s="280" t="s">
        <v>661</v>
      </c>
      <c r="D260" s="280" t="s">
        <v>1271</v>
      </c>
      <c r="E260" s="1187">
        <v>91.35</v>
      </c>
      <c r="F260" s="1192">
        <f>169/185*100</f>
        <v>91.351351351351354</v>
      </c>
      <c r="G260" s="1192">
        <f>170/185*100</f>
        <v>91.891891891891902</v>
      </c>
      <c r="H260" s="1192">
        <f>171/185*100</f>
        <v>92.432432432432435</v>
      </c>
      <c r="I260" s="1192">
        <f>172/185*100</f>
        <v>92.972972972972983</v>
      </c>
      <c r="J260" s="1192">
        <f>173/185*100</f>
        <v>93.513513513513516</v>
      </c>
      <c r="K260" s="1192">
        <f>174/185*100</f>
        <v>94.054054054054063</v>
      </c>
    </row>
    <row r="261" spans="1:11" ht="38.25" x14ac:dyDescent="0.25">
      <c r="A261" s="291"/>
      <c r="B261" s="1193" t="s">
        <v>1504</v>
      </c>
      <c r="C261" s="280" t="s">
        <v>661</v>
      </c>
      <c r="D261" s="280" t="s">
        <v>1271</v>
      </c>
      <c r="E261" s="1187">
        <v>50.27</v>
      </c>
      <c r="F261" s="1188">
        <f>93/185*100</f>
        <v>50.270270270270267</v>
      </c>
      <c r="G261" s="1188">
        <f>95/185*100</f>
        <v>51.351351351351347</v>
      </c>
      <c r="H261" s="1188">
        <f>100/185*100</f>
        <v>54.054054054054056</v>
      </c>
      <c r="I261" s="1188">
        <f>110/185*100</f>
        <v>59.45945945945946</v>
      </c>
      <c r="J261" s="1188">
        <f>120/185*100</f>
        <v>64.86486486486487</v>
      </c>
      <c r="K261" s="1188">
        <f>130/185*100</f>
        <v>70.270270270270274</v>
      </c>
    </row>
    <row r="262" spans="1:11" ht="38.25" x14ac:dyDescent="0.25">
      <c r="A262" s="291"/>
      <c r="B262" s="1194" t="s">
        <v>1505</v>
      </c>
      <c r="C262" s="280" t="s">
        <v>661</v>
      </c>
      <c r="D262" s="280" t="s">
        <v>1271</v>
      </c>
      <c r="E262" s="291">
        <v>25.39</v>
      </c>
      <c r="F262" s="1188">
        <f>48/185*100</f>
        <v>25.945945945945947</v>
      </c>
      <c r="G262" s="1188">
        <f>52/185*100</f>
        <v>28.108108108108109</v>
      </c>
      <c r="H262" s="1188">
        <f>60/185*100</f>
        <v>32.432432432432435</v>
      </c>
      <c r="I262" s="1188">
        <f>65/185*100</f>
        <v>35.135135135135137</v>
      </c>
      <c r="J262" s="1188">
        <f>70/185*100</f>
        <v>37.837837837837839</v>
      </c>
      <c r="K262" s="1188">
        <f>80/185*100</f>
        <v>43.243243243243242</v>
      </c>
    </row>
    <row r="263" spans="1:11" ht="38.25" x14ac:dyDescent="0.25">
      <c r="A263" s="291"/>
      <c r="B263" s="1195" t="s">
        <v>1506</v>
      </c>
      <c r="C263" s="280" t="s">
        <v>661</v>
      </c>
      <c r="D263" s="280" t="s">
        <v>1271</v>
      </c>
      <c r="E263" s="1188">
        <f>123/185*100</f>
        <v>66.486486486486484</v>
      </c>
      <c r="F263" s="1188">
        <f>135/185*100</f>
        <v>72.972972972972968</v>
      </c>
      <c r="G263" s="1188">
        <f>145/185*100</f>
        <v>78.378378378378372</v>
      </c>
      <c r="H263" s="1188">
        <f>150/185*100</f>
        <v>81.081081081081081</v>
      </c>
      <c r="I263" s="1188">
        <f>155/185*100</f>
        <v>83.78378378378379</v>
      </c>
      <c r="J263" s="1188">
        <f>165/185*100</f>
        <v>89.189189189189193</v>
      </c>
      <c r="K263" s="1188">
        <f>175/185*100</f>
        <v>94.594594594594597</v>
      </c>
    </row>
    <row r="264" spans="1:11" ht="63.75" x14ac:dyDescent="0.25">
      <c r="A264" s="291"/>
      <c r="B264" s="382" t="s">
        <v>1507</v>
      </c>
      <c r="C264" s="280" t="s">
        <v>661</v>
      </c>
      <c r="D264" s="280" t="s">
        <v>1271</v>
      </c>
      <c r="E264" s="291">
        <v>28.64</v>
      </c>
      <c r="F264" s="1192">
        <f>53/185*100</f>
        <v>28.648648648648649</v>
      </c>
      <c r="G264" s="1192">
        <f>60/185*100</f>
        <v>32.432432432432435</v>
      </c>
      <c r="H264" s="1192">
        <f>65/185*100</f>
        <v>35.135135135135137</v>
      </c>
      <c r="I264" s="1192">
        <f>70/185*100</f>
        <v>37.837837837837839</v>
      </c>
      <c r="J264" s="1192">
        <f>75/185*100</f>
        <v>40.54054054054054</v>
      </c>
      <c r="K264" s="1192">
        <f>75/185*100</f>
        <v>40.54054054054054</v>
      </c>
    </row>
    <row r="265" spans="1:11" ht="63.75" x14ac:dyDescent="0.25">
      <c r="A265" s="291"/>
      <c r="B265" s="382" t="s">
        <v>1508</v>
      </c>
      <c r="C265" s="280" t="s">
        <v>661</v>
      </c>
      <c r="D265" s="280" t="s">
        <v>1271</v>
      </c>
      <c r="E265" s="1196">
        <v>42.16</v>
      </c>
      <c r="F265" s="1192">
        <f>78/185*100</f>
        <v>42.162162162162161</v>
      </c>
      <c r="G265" s="1192">
        <f>90/185*100</f>
        <v>48.648648648648653</v>
      </c>
      <c r="H265" s="1192">
        <f>100/185*100</f>
        <v>54.054054054054056</v>
      </c>
      <c r="I265" s="1192">
        <f>110/185*100</f>
        <v>59.45945945945946</v>
      </c>
      <c r="J265" s="1192">
        <f>120/185*100</f>
        <v>64.86486486486487</v>
      </c>
      <c r="K265" s="1192">
        <f>135/185*100</f>
        <v>72.972972972972968</v>
      </c>
    </row>
    <row r="266" spans="1:11" ht="38.25" x14ac:dyDescent="0.25">
      <c r="A266" s="291"/>
      <c r="B266" s="1186" t="s">
        <v>1509</v>
      </c>
      <c r="C266" s="280" t="s">
        <v>661</v>
      </c>
      <c r="D266" s="280" t="s">
        <v>1271</v>
      </c>
      <c r="E266" s="1188">
        <f>17/27*100</f>
        <v>62.962962962962962</v>
      </c>
      <c r="F266" s="1188">
        <f>17/27*100</f>
        <v>62.962962962962962</v>
      </c>
      <c r="G266" s="1192">
        <f>19/27*100</f>
        <v>70.370370370370367</v>
      </c>
      <c r="H266" s="1192">
        <f>20/27*100</f>
        <v>74.074074074074076</v>
      </c>
      <c r="I266" s="1192">
        <f>21/27*100</f>
        <v>77.777777777777786</v>
      </c>
      <c r="J266" s="1192">
        <f>22/27*100</f>
        <v>81.481481481481481</v>
      </c>
      <c r="K266" s="1192">
        <f>23/27*100</f>
        <v>85.18518518518519</v>
      </c>
    </row>
    <row r="267" spans="1:11" ht="38.25" x14ac:dyDescent="0.25">
      <c r="A267" s="291"/>
      <c r="B267" s="1186" t="s">
        <v>1510</v>
      </c>
      <c r="C267" s="280" t="s">
        <v>661</v>
      </c>
      <c r="D267" s="280" t="s">
        <v>1271</v>
      </c>
      <c r="E267" s="291">
        <v>70.58</v>
      </c>
      <c r="F267" s="1188">
        <f>27/36*100</f>
        <v>75</v>
      </c>
      <c r="G267" s="1188">
        <f>28/36*100</f>
        <v>77.777777777777786</v>
      </c>
      <c r="H267" s="1188">
        <f>29/36*100</f>
        <v>80.555555555555557</v>
      </c>
      <c r="I267" s="1188">
        <f>30/36*100</f>
        <v>83.333333333333343</v>
      </c>
      <c r="J267" s="1188">
        <f>31/36*100</f>
        <v>86.111111111111114</v>
      </c>
      <c r="K267" s="1188">
        <f>32/36*100</f>
        <v>88.888888888888886</v>
      </c>
    </row>
    <row r="268" spans="1:11" ht="38.25" x14ac:dyDescent="0.25">
      <c r="A268" s="291"/>
      <c r="B268" s="1186" t="s">
        <v>1511</v>
      </c>
      <c r="C268" s="280" t="s">
        <v>661</v>
      </c>
      <c r="D268" s="280" t="s">
        <v>1271</v>
      </c>
      <c r="E268" s="1192">
        <f>14/17*100</f>
        <v>82.35294117647058</v>
      </c>
      <c r="F268" s="1192">
        <f>14/17*100</f>
        <v>82.35294117647058</v>
      </c>
      <c r="G268" s="1192">
        <f>15/17*100</f>
        <v>88.235294117647058</v>
      </c>
      <c r="H268" s="1192">
        <f>16/17*100</f>
        <v>94.117647058823522</v>
      </c>
      <c r="I268" s="1192">
        <f>16/17*100</f>
        <v>94.117647058823522</v>
      </c>
      <c r="J268" s="1192">
        <f>17/17*100</f>
        <v>100</v>
      </c>
      <c r="K268" s="1192">
        <f>17/17*100</f>
        <v>100</v>
      </c>
    </row>
    <row r="269" spans="1:11" ht="51" x14ac:dyDescent="0.25">
      <c r="A269" s="291"/>
      <c r="B269" s="1193" t="s">
        <v>1512</v>
      </c>
      <c r="C269" s="280" t="s">
        <v>661</v>
      </c>
      <c r="D269" s="280" t="s">
        <v>1271</v>
      </c>
      <c r="E269" s="1187">
        <v>94.11</v>
      </c>
      <c r="F269" s="1192">
        <f>34/36*100</f>
        <v>94.444444444444443</v>
      </c>
      <c r="G269" s="1192">
        <f>34/36*100</f>
        <v>94.444444444444443</v>
      </c>
      <c r="H269" s="1192">
        <f>35/36*100</f>
        <v>97.222222222222214</v>
      </c>
      <c r="I269" s="1192">
        <f>35/36*100</f>
        <v>97.222222222222214</v>
      </c>
      <c r="J269" s="1192">
        <f>35/37*100</f>
        <v>94.594594594594597</v>
      </c>
      <c r="K269" s="1192">
        <f>36/38*100</f>
        <v>94.73684210526315</v>
      </c>
    </row>
    <row r="270" spans="1:11" ht="51" x14ac:dyDescent="0.25">
      <c r="A270" s="291"/>
      <c r="B270" s="1193" t="s">
        <v>1513</v>
      </c>
      <c r="C270" s="280" t="s">
        <v>661</v>
      </c>
      <c r="D270" s="280" t="s">
        <v>1271</v>
      </c>
      <c r="E270" s="1187">
        <v>94.11</v>
      </c>
      <c r="F270" s="1192">
        <f>16/17*100</f>
        <v>94.117647058823522</v>
      </c>
      <c r="G270" s="1192">
        <f>17/20*100</f>
        <v>85</v>
      </c>
      <c r="H270" s="1192">
        <f>17/21*100</f>
        <v>80.952380952380949</v>
      </c>
      <c r="I270" s="1192">
        <f>18/22*100</f>
        <v>81.818181818181827</v>
      </c>
      <c r="J270" s="1192">
        <f>19/20*100</f>
        <v>95</v>
      </c>
      <c r="K270" s="1192">
        <f>20/20*100</f>
        <v>100</v>
      </c>
    </row>
    <row r="271" spans="1:11" ht="63.75" x14ac:dyDescent="0.25">
      <c r="A271" s="291"/>
      <c r="B271" s="1186" t="s">
        <v>1514</v>
      </c>
      <c r="C271" s="280" t="s">
        <v>661</v>
      </c>
      <c r="D271" s="280" t="s">
        <v>1271</v>
      </c>
      <c r="E271" s="291">
        <v>82.35</v>
      </c>
      <c r="F271" s="1188">
        <f t="shared" ref="F271:K272" si="0">14/17*100</f>
        <v>82.35294117647058</v>
      </c>
      <c r="G271" s="1188">
        <f t="shared" si="0"/>
        <v>82.35294117647058</v>
      </c>
      <c r="H271" s="1188">
        <f t="shared" si="0"/>
        <v>82.35294117647058</v>
      </c>
      <c r="I271" s="1188">
        <f t="shared" si="0"/>
        <v>82.35294117647058</v>
      </c>
      <c r="J271" s="1188">
        <f t="shared" si="0"/>
        <v>82.35294117647058</v>
      </c>
      <c r="K271" s="1188">
        <f t="shared" si="0"/>
        <v>82.35294117647058</v>
      </c>
    </row>
    <row r="272" spans="1:11" ht="63.75" x14ac:dyDescent="0.25">
      <c r="A272" s="291"/>
      <c r="B272" s="382" t="s">
        <v>1515</v>
      </c>
      <c r="C272" s="280" t="s">
        <v>661</v>
      </c>
      <c r="D272" s="280" t="s">
        <v>1271</v>
      </c>
      <c r="E272" s="1187">
        <v>94.11</v>
      </c>
      <c r="F272" s="1188">
        <f t="shared" si="0"/>
        <v>82.35294117647058</v>
      </c>
      <c r="G272" s="1188">
        <f t="shared" si="0"/>
        <v>82.35294117647058</v>
      </c>
      <c r="H272" s="1188">
        <f t="shared" si="0"/>
        <v>82.35294117647058</v>
      </c>
      <c r="I272" s="1188">
        <f t="shared" si="0"/>
        <v>82.35294117647058</v>
      </c>
      <c r="J272" s="1188">
        <f t="shared" si="0"/>
        <v>82.35294117647058</v>
      </c>
      <c r="K272" s="1188">
        <f t="shared" si="0"/>
        <v>82.35294117647058</v>
      </c>
    </row>
    <row r="273" spans="1:11" ht="38.25" x14ac:dyDescent="0.25">
      <c r="A273" s="291"/>
      <c r="B273" s="1186" t="s">
        <v>1516</v>
      </c>
      <c r="C273" s="280" t="s">
        <v>661</v>
      </c>
      <c r="D273" s="280" t="s">
        <v>1271</v>
      </c>
      <c r="E273" s="1188">
        <f>18/27*100</f>
        <v>66.666666666666657</v>
      </c>
      <c r="F273" s="1192">
        <f>20/27*100</f>
        <v>74.074074074074076</v>
      </c>
      <c r="G273" s="1192">
        <f>21/27*100</f>
        <v>77.777777777777786</v>
      </c>
      <c r="H273" s="1192">
        <f>22/27*100</f>
        <v>81.481481481481481</v>
      </c>
      <c r="I273" s="1192">
        <f>23/27*100</f>
        <v>85.18518518518519</v>
      </c>
      <c r="J273" s="1192">
        <f>24/27*100</f>
        <v>88.888888888888886</v>
      </c>
      <c r="K273" s="1192">
        <f>25/27*100</f>
        <v>92.592592592592595</v>
      </c>
    </row>
    <row r="274" spans="1:11" ht="38.25" x14ac:dyDescent="0.25">
      <c r="A274" s="291"/>
      <c r="B274" s="1186" t="s">
        <v>1517</v>
      </c>
      <c r="C274" s="280" t="s">
        <v>661</v>
      </c>
      <c r="D274" s="280" t="s">
        <v>1408</v>
      </c>
      <c r="E274" s="291">
        <v>3</v>
      </c>
      <c r="F274" s="291">
        <v>3</v>
      </c>
      <c r="G274" s="291">
        <v>3</v>
      </c>
      <c r="H274" s="291">
        <v>3</v>
      </c>
      <c r="I274" s="291">
        <v>3</v>
      </c>
      <c r="J274" s="291">
        <v>3</v>
      </c>
      <c r="K274" s="291">
        <v>3</v>
      </c>
    </row>
    <row r="275" spans="1:11" ht="16.5" customHeight="1" x14ac:dyDescent="0.25">
      <c r="A275" s="291"/>
      <c r="B275" s="1186" t="s">
        <v>732</v>
      </c>
      <c r="C275" s="280" t="s">
        <v>661</v>
      </c>
      <c r="D275" s="280" t="s">
        <v>1271</v>
      </c>
      <c r="E275" s="1197" t="s">
        <v>1518</v>
      </c>
      <c r="F275" s="1197" t="s">
        <v>1518</v>
      </c>
      <c r="G275" s="1197" t="s">
        <v>1519</v>
      </c>
      <c r="H275" s="1197" t="s">
        <v>1520</v>
      </c>
      <c r="I275" s="1197" t="s">
        <v>1521</v>
      </c>
      <c r="J275" s="1197" t="s">
        <v>1522</v>
      </c>
      <c r="K275" s="1197" t="s">
        <v>1523</v>
      </c>
    </row>
    <row r="276" spans="1:11" ht="15" customHeight="1" x14ac:dyDescent="0.25">
      <c r="A276" s="291"/>
      <c r="B276" s="1186" t="s">
        <v>736</v>
      </c>
      <c r="C276" s="280" t="s">
        <v>661</v>
      </c>
      <c r="D276" s="280" t="s">
        <v>1271</v>
      </c>
      <c r="E276" s="1197" t="s">
        <v>1524</v>
      </c>
      <c r="F276" s="1197" t="s">
        <v>1524</v>
      </c>
      <c r="G276" s="1197" t="s">
        <v>1525</v>
      </c>
      <c r="H276" s="1197" t="s">
        <v>1526</v>
      </c>
      <c r="I276" s="1197" t="s">
        <v>1527</v>
      </c>
      <c r="J276" s="1197" t="s">
        <v>1528</v>
      </c>
      <c r="K276" s="1197" t="s">
        <v>1528</v>
      </c>
    </row>
    <row r="277" spans="1:11" ht="25.5" x14ac:dyDescent="0.25">
      <c r="A277" s="291"/>
      <c r="B277" s="1186" t="s">
        <v>1529</v>
      </c>
      <c r="C277" s="280" t="s">
        <v>661</v>
      </c>
      <c r="D277" s="280" t="s">
        <v>1271</v>
      </c>
      <c r="E277" s="1187" t="s">
        <v>1530</v>
      </c>
      <c r="F277" s="1192">
        <f t="shared" ref="F277:K277" si="1">2200/2215*100</f>
        <v>99.322799097065456</v>
      </c>
      <c r="G277" s="1192">
        <f t="shared" si="1"/>
        <v>99.322799097065456</v>
      </c>
      <c r="H277" s="1192">
        <f t="shared" si="1"/>
        <v>99.322799097065456</v>
      </c>
      <c r="I277" s="1192">
        <f t="shared" si="1"/>
        <v>99.322799097065456</v>
      </c>
      <c r="J277" s="1192">
        <f t="shared" si="1"/>
        <v>99.322799097065456</v>
      </c>
      <c r="K277" s="1192">
        <f t="shared" si="1"/>
        <v>99.322799097065456</v>
      </c>
    </row>
    <row r="278" spans="1:11" ht="25.5" x14ac:dyDescent="0.25">
      <c r="A278" s="291"/>
      <c r="B278" s="1186" t="s">
        <v>742</v>
      </c>
      <c r="C278" s="280" t="s">
        <v>661</v>
      </c>
      <c r="D278" s="280" t="s">
        <v>1531</v>
      </c>
      <c r="E278" s="1198">
        <v>59</v>
      </c>
      <c r="F278" s="1198">
        <v>59</v>
      </c>
      <c r="G278" s="1198">
        <v>33</v>
      </c>
      <c r="H278" s="1198">
        <v>33</v>
      </c>
      <c r="I278" s="1198">
        <v>33</v>
      </c>
      <c r="J278" s="1198">
        <v>33</v>
      </c>
      <c r="K278" s="1198">
        <v>33</v>
      </c>
    </row>
    <row r="279" spans="1:11" ht="25.5" x14ac:dyDescent="0.25">
      <c r="A279" s="291"/>
      <c r="B279" s="1186" t="s">
        <v>1532</v>
      </c>
      <c r="C279" s="280" t="s">
        <v>661</v>
      </c>
      <c r="D279" s="280" t="s">
        <v>1531</v>
      </c>
      <c r="E279" s="1199">
        <v>10783</v>
      </c>
      <c r="F279" s="1199">
        <v>10783</v>
      </c>
      <c r="G279" s="1199">
        <v>10000</v>
      </c>
      <c r="H279" s="1199">
        <v>9500</v>
      </c>
      <c r="I279" s="1199">
        <v>9000</v>
      </c>
      <c r="J279" s="1199">
        <v>8500</v>
      </c>
      <c r="K279" s="1199">
        <v>8000</v>
      </c>
    </row>
    <row r="280" spans="1:11" ht="38.25" x14ac:dyDescent="0.25">
      <c r="A280" s="291"/>
      <c r="B280" s="1186" t="s">
        <v>747</v>
      </c>
      <c r="C280" s="280" t="s">
        <v>661</v>
      </c>
      <c r="D280" s="280" t="s">
        <v>1531</v>
      </c>
      <c r="E280" s="1200" t="s">
        <v>217</v>
      </c>
      <c r="F280" s="1200" t="s">
        <v>217</v>
      </c>
      <c r="G280" s="1200" t="s">
        <v>217</v>
      </c>
      <c r="H280" s="1200" t="s">
        <v>217</v>
      </c>
      <c r="I280" s="1200" t="s">
        <v>217</v>
      </c>
      <c r="J280" s="1199">
        <v>1000</v>
      </c>
      <c r="K280" s="1199">
        <v>1000</v>
      </c>
    </row>
    <row r="281" spans="1:11" ht="25.5" x14ac:dyDescent="0.25">
      <c r="A281" s="291"/>
      <c r="B281" s="1186" t="s">
        <v>750</v>
      </c>
      <c r="C281" s="280" t="s">
        <v>661</v>
      </c>
      <c r="D281" s="280" t="s">
        <v>1271</v>
      </c>
      <c r="E281" s="291">
        <v>41.48</v>
      </c>
      <c r="F281" s="1190">
        <f>112/270*100</f>
        <v>41.481481481481481</v>
      </c>
      <c r="G281" s="1190">
        <f>115/270*100</f>
        <v>42.592592592592595</v>
      </c>
      <c r="H281" s="1190">
        <f>130/300*100</f>
        <v>43.333333333333336</v>
      </c>
      <c r="I281" s="1190">
        <f>160/350*100</f>
        <v>45.714285714285715</v>
      </c>
      <c r="J281" s="1190">
        <f>165/350*100</f>
        <v>47.142857142857139</v>
      </c>
      <c r="K281" s="1190">
        <f>180/370*100</f>
        <v>48.648648648648653</v>
      </c>
    </row>
    <row r="282" spans="1:11" ht="25.5" x14ac:dyDescent="0.25">
      <c r="A282" s="291"/>
      <c r="B282" s="1186" t="s">
        <v>1533</v>
      </c>
      <c r="C282" s="280" t="s">
        <v>661</v>
      </c>
      <c r="D282" s="280" t="s">
        <v>1271</v>
      </c>
      <c r="E282" s="291">
        <v>79.89</v>
      </c>
      <c r="F282" s="1188">
        <f>151/189*100</f>
        <v>79.894179894179899</v>
      </c>
      <c r="G282" s="1188">
        <f>155/189*100</f>
        <v>82.010582010582013</v>
      </c>
      <c r="H282" s="1188">
        <f>156/189*100</f>
        <v>82.539682539682531</v>
      </c>
      <c r="I282" s="1188">
        <f>157/189*100</f>
        <v>83.068783068783063</v>
      </c>
      <c r="J282" s="1188">
        <f>159/189*100</f>
        <v>84.126984126984127</v>
      </c>
      <c r="K282" s="1188">
        <f>160/189*100</f>
        <v>84.656084656084658</v>
      </c>
    </row>
    <row r="283" spans="1:11" ht="38.25" x14ac:dyDescent="0.25">
      <c r="A283" s="291"/>
      <c r="B283" s="1186" t="s">
        <v>1534</v>
      </c>
      <c r="C283" s="280" t="s">
        <v>661</v>
      </c>
      <c r="D283" s="280" t="s">
        <v>1271</v>
      </c>
      <c r="E283" s="291">
        <v>52.94</v>
      </c>
      <c r="F283" s="291">
        <v>67.650000000000006</v>
      </c>
      <c r="G283" s="291">
        <v>82.35</v>
      </c>
      <c r="H283" s="291">
        <v>97.06</v>
      </c>
      <c r="I283" s="291">
        <v>100</v>
      </c>
      <c r="J283" s="291">
        <v>100</v>
      </c>
      <c r="K283" s="291">
        <v>100</v>
      </c>
    </row>
    <row r="284" spans="1:11" ht="31.5" customHeight="1" x14ac:dyDescent="0.25">
      <c r="A284" s="291"/>
      <c r="B284" s="1186" t="s">
        <v>1535</v>
      </c>
      <c r="C284" s="280" t="s">
        <v>661</v>
      </c>
      <c r="D284" s="280" t="s">
        <v>1271</v>
      </c>
      <c r="E284" s="291">
        <v>8.82</v>
      </c>
      <c r="F284" s="1188">
        <f>3/34*100</f>
        <v>8.8235294117647065</v>
      </c>
      <c r="G284" s="1188">
        <f>5/34*100</f>
        <v>14.705882352941178</v>
      </c>
      <c r="H284" s="1188">
        <f>7/34*100</f>
        <v>20.588235294117645</v>
      </c>
      <c r="I284" s="1188">
        <f>8/34*100</f>
        <v>23.52941176470588</v>
      </c>
      <c r="J284" s="1188">
        <f>8/34*100</f>
        <v>23.52941176470588</v>
      </c>
      <c r="K284" s="1188">
        <f>9/34*100</f>
        <v>26.47058823529412</v>
      </c>
    </row>
    <row r="285" spans="1:11" ht="63.75" x14ac:dyDescent="0.25">
      <c r="A285" s="291"/>
      <c r="B285" s="135" t="s">
        <v>1536</v>
      </c>
      <c r="C285" s="280" t="s">
        <v>661</v>
      </c>
      <c r="D285" s="280" t="s">
        <v>1271</v>
      </c>
      <c r="E285" s="291">
        <v>41.17</v>
      </c>
      <c r="F285" s="1188">
        <f>7/17*100</f>
        <v>41.17647058823529</v>
      </c>
      <c r="G285" s="1188">
        <f>10/17*100</f>
        <v>58.82352941176471</v>
      </c>
      <c r="H285" s="1188">
        <f>11/17*100</f>
        <v>64.705882352941174</v>
      </c>
      <c r="I285" s="1188">
        <f>13/17*100</f>
        <v>76.470588235294116</v>
      </c>
      <c r="J285" s="1188">
        <f>14/17*100</f>
        <v>82.35294117647058</v>
      </c>
      <c r="K285" s="1188">
        <f>16/17*100</f>
        <v>94.117647058823522</v>
      </c>
    </row>
    <row r="286" spans="1:11" ht="30.75" customHeight="1" x14ac:dyDescent="0.25">
      <c r="A286" s="1101" t="s">
        <v>767</v>
      </c>
      <c r="B286" s="1539" t="s">
        <v>768</v>
      </c>
      <c r="C286" s="1540"/>
      <c r="D286" s="1540"/>
      <c r="E286" s="1540"/>
      <c r="F286" s="1540"/>
      <c r="G286" s="1540"/>
      <c r="H286" s="1540"/>
      <c r="I286" s="1540"/>
      <c r="J286" s="1540"/>
      <c r="K286" s="1541"/>
    </row>
    <row r="287" spans="1:11" ht="31.5" customHeight="1" x14ac:dyDescent="0.25">
      <c r="A287" s="25"/>
      <c r="B287" s="23" t="s">
        <v>771</v>
      </c>
      <c r="C287" s="25" t="s">
        <v>1537</v>
      </c>
      <c r="D287" s="25" t="s">
        <v>1304</v>
      </c>
      <c r="E287" s="25">
        <v>12</v>
      </c>
      <c r="F287" s="25">
        <v>12</v>
      </c>
      <c r="G287" s="25">
        <v>24</v>
      </c>
      <c r="H287" s="25">
        <v>24</v>
      </c>
      <c r="I287" s="25">
        <v>36</v>
      </c>
      <c r="J287" s="25">
        <v>48</v>
      </c>
      <c r="K287" s="25">
        <v>48</v>
      </c>
    </row>
    <row r="288" spans="1:11" ht="38.25" x14ac:dyDescent="0.25">
      <c r="A288" s="25"/>
      <c r="B288" s="1081" t="s">
        <v>776</v>
      </c>
      <c r="C288" s="25" t="s">
        <v>1537</v>
      </c>
      <c r="D288" s="272" t="s">
        <v>1304</v>
      </c>
      <c r="E288" s="25">
        <v>12</v>
      </c>
      <c r="F288" s="25">
        <v>4</v>
      </c>
      <c r="G288" s="25">
        <v>6</v>
      </c>
      <c r="H288" s="25">
        <v>12</v>
      </c>
      <c r="I288" s="25">
        <v>12</v>
      </c>
      <c r="J288" s="25">
        <v>24</v>
      </c>
      <c r="K288" s="25">
        <v>24</v>
      </c>
    </row>
    <row r="289" spans="1:11" ht="25.5" x14ac:dyDescent="0.25">
      <c r="A289" s="25"/>
      <c r="B289" s="1081" t="s">
        <v>778</v>
      </c>
      <c r="C289" s="25" t="s">
        <v>1537</v>
      </c>
      <c r="D289" s="272" t="s">
        <v>1538</v>
      </c>
      <c r="E289" s="25">
        <v>31</v>
      </c>
      <c r="F289" s="25">
        <v>16</v>
      </c>
      <c r="G289" s="25">
        <v>24</v>
      </c>
      <c r="H289" s="25">
        <v>27</v>
      </c>
      <c r="I289" s="25">
        <v>31</v>
      </c>
      <c r="J289" s="25">
        <v>34</v>
      </c>
      <c r="K289" s="25">
        <v>132</v>
      </c>
    </row>
    <row r="290" spans="1:11" ht="25.5" x14ac:dyDescent="0.25">
      <c r="A290" s="25"/>
      <c r="B290" s="1081" t="s">
        <v>781</v>
      </c>
      <c r="C290" s="25" t="s">
        <v>1537</v>
      </c>
      <c r="D290" s="272" t="s">
        <v>1539</v>
      </c>
      <c r="E290" s="25">
        <v>10</v>
      </c>
      <c r="F290" s="25">
        <v>10</v>
      </c>
      <c r="G290" s="25">
        <v>12</v>
      </c>
      <c r="H290" s="25">
        <v>15</v>
      </c>
      <c r="I290" s="25">
        <v>18</v>
      </c>
      <c r="J290" s="25">
        <v>20</v>
      </c>
      <c r="K290" s="25">
        <v>85</v>
      </c>
    </row>
    <row r="291" spans="1:11" ht="25.5" x14ac:dyDescent="0.25">
      <c r="A291" s="25"/>
      <c r="B291" s="1081" t="s">
        <v>784</v>
      </c>
      <c r="C291" s="25" t="s">
        <v>1537</v>
      </c>
      <c r="D291" s="272" t="s">
        <v>1304</v>
      </c>
      <c r="E291" s="25">
        <v>11</v>
      </c>
      <c r="F291" s="25">
        <v>13</v>
      </c>
      <c r="G291" s="25">
        <v>15</v>
      </c>
      <c r="H291" s="25">
        <v>15</v>
      </c>
      <c r="I291" s="25">
        <v>15</v>
      </c>
      <c r="J291" s="25">
        <v>18</v>
      </c>
      <c r="K291" s="25">
        <v>18</v>
      </c>
    </row>
    <row r="292" spans="1:11" ht="25.5" x14ac:dyDescent="0.25">
      <c r="A292" s="25"/>
      <c r="B292" s="1081" t="s">
        <v>786</v>
      </c>
      <c r="C292" s="25" t="s">
        <v>1537</v>
      </c>
      <c r="D292" s="272" t="s">
        <v>1540</v>
      </c>
      <c r="E292" s="25">
        <v>351</v>
      </c>
      <c r="F292" s="25">
        <v>355</v>
      </c>
      <c r="G292" s="25">
        <v>380</v>
      </c>
      <c r="H292" s="25">
        <v>389</v>
      </c>
      <c r="I292" s="25">
        <v>394</v>
      </c>
      <c r="J292" s="25">
        <v>569</v>
      </c>
      <c r="K292" s="25">
        <v>569</v>
      </c>
    </row>
    <row r="293" spans="1:11" ht="33" customHeight="1" x14ac:dyDescent="0.25">
      <c r="A293" s="25"/>
      <c r="B293" s="1086" t="s">
        <v>791</v>
      </c>
      <c r="C293" s="25" t="s">
        <v>1537</v>
      </c>
      <c r="D293" s="25" t="s">
        <v>1541</v>
      </c>
      <c r="E293" s="25">
        <v>82</v>
      </c>
      <c r="F293" s="25">
        <v>23</v>
      </c>
      <c r="G293" s="25">
        <v>41</v>
      </c>
      <c r="H293" s="25">
        <v>43</v>
      </c>
      <c r="I293" s="25">
        <v>48</v>
      </c>
      <c r="J293" s="25">
        <v>52</v>
      </c>
      <c r="K293" s="25">
        <v>289</v>
      </c>
    </row>
    <row r="294" spans="1:11" ht="29.25" customHeight="1" x14ac:dyDescent="0.25">
      <c r="A294" s="25"/>
      <c r="B294" s="1081" t="s">
        <v>794</v>
      </c>
      <c r="C294" s="25" t="s">
        <v>1537</v>
      </c>
      <c r="D294" s="25" t="s">
        <v>1542</v>
      </c>
      <c r="E294" s="25">
        <v>305</v>
      </c>
      <c r="F294" s="25">
        <v>2</v>
      </c>
      <c r="G294" s="25">
        <v>5</v>
      </c>
      <c r="H294" s="25">
        <v>12</v>
      </c>
      <c r="I294" s="25">
        <v>25</v>
      </c>
      <c r="J294" s="25">
        <v>32</v>
      </c>
      <c r="K294" s="25">
        <v>381</v>
      </c>
    </row>
    <row r="295" spans="1:11" ht="29.25" customHeight="1" x14ac:dyDescent="0.25">
      <c r="A295" s="25"/>
      <c r="B295" s="1081" t="s">
        <v>796</v>
      </c>
      <c r="C295" s="25" t="s">
        <v>1537</v>
      </c>
      <c r="D295" s="272" t="s">
        <v>1543</v>
      </c>
      <c r="E295" s="25" t="s">
        <v>1544</v>
      </c>
      <c r="F295" s="25" t="s">
        <v>1544</v>
      </c>
      <c r="G295" s="25">
        <v>12</v>
      </c>
      <c r="H295" s="25">
        <v>18</v>
      </c>
      <c r="I295" s="25">
        <v>23</v>
      </c>
      <c r="J295" s="25">
        <v>25</v>
      </c>
      <c r="K295" s="25">
        <v>25</v>
      </c>
    </row>
    <row r="296" spans="1:11" ht="25.5" x14ac:dyDescent="0.25">
      <c r="A296" s="25"/>
      <c r="B296" s="1081" t="s">
        <v>799</v>
      </c>
      <c r="C296" s="25" t="s">
        <v>1537</v>
      </c>
      <c r="D296" s="272" t="s">
        <v>1295</v>
      </c>
      <c r="E296" s="1146" t="s">
        <v>217</v>
      </c>
      <c r="F296" s="1146" t="s">
        <v>217</v>
      </c>
      <c r="G296" s="1146" t="s">
        <v>217</v>
      </c>
      <c r="H296" s="25">
        <v>2</v>
      </c>
      <c r="I296" s="25">
        <v>3</v>
      </c>
      <c r="J296" s="25">
        <v>5</v>
      </c>
      <c r="K296" s="25">
        <v>10</v>
      </c>
    </row>
    <row r="297" spans="1:11" ht="25.5" customHeight="1" x14ac:dyDescent="0.25">
      <c r="A297" s="1101" t="s">
        <v>801</v>
      </c>
      <c r="B297" s="1539" t="s">
        <v>802</v>
      </c>
      <c r="C297" s="1540"/>
      <c r="D297" s="1540"/>
      <c r="E297" s="1540"/>
      <c r="F297" s="1540"/>
      <c r="G297" s="1540"/>
      <c r="H297" s="1540"/>
      <c r="I297" s="1540"/>
      <c r="J297" s="1540"/>
      <c r="K297" s="1541"/>
    </row>
    <row r="298" spans="1:11" ht="25.5" customHeight="1" x14ac:dyDescent="0.25">
      <c r="A298" s="291"/>
      <c r="B298" s="1083" t="s">
        <v>805</v>
      </c>
      <c r="C298" s="280" t="s">
        <v>1341</v>
      </c>
      <c r="D298" s="280" t="s">
        <v>1271</v>
      </c>
      <c r="E298" s="1128">
        <v>5</v>
      </c>
      <c r="F298" s="280" t="s">
        <v>1545</v>
      </c>
      <c r="G298" s="280" t="s">
        <v>1546</v>
      </c>
      <c r="H298" s="280" t="s">
        <v>1546</v>
      </c>
      <c r="I298" s="280" t="s">
        <v>1547</v>
      </c>
      <c r="J298" s="280" t="s">
        <v>1548</v>
      </c>
      <c r="K298" s="280" t="s">
        <v>1548</v>
      </c>
    </row>
    <row r="299" spans="1:11" ht="21.75" customHeight="1" x14ac:dyDescent="0.25">
      <c r="A299" s="291"/>
      <c r="B299" s="1083" t="s">
        <v>810</v>
      </c>
      <c r="C299" s="280" t="s">
        <v>1341</v>
      </c>
      <c r="D299" s="280" t="s">
        <v>1271</v>
      </c>
      <c r="E299" s="280" t="s">
        <v>1549</v>
      </c>
      <c r="F299" s="280" t="s">
        <v>1550</v>
      </c>
      <c r="G299" s="280" t="s">
        <v>1391</v>
      </c>
      <c r="H299" s="280" t="s">
        <v>1551</v>
      </c>
      <c r="I299" s="280" t="s">
        <v>1552</v>
      </c>
      <c r="J299" s="280" t="s">
        <v>1553</v>
      </c>
      <c r="K299" s="280" t="s">
        <v>1553</v>
      </c>
    </row>
    <row r="300" spans="1:11" ht="20.25" customHeight="1" x14ac:dyDescent="0.25">
      <c r="A300" s="291"/>
      <c r="B300" s="135" t="s">
        <v>814</v>
      </c>
      <c r="C300" s="280" t="s">
        <v>1341</v>
      </c>
      <c r="D300" s="280" t="s">
        <v>1271</v>
      </c>
      <c r="E300" s="291" t="s">
        <v>1554</v>
      </c>
      <c r="F300" s="291" t="s">
        <v>1555</v>
      </c>
      <c r="G300" s="291" t="s">
        <v>1556</v>
      </c>
      <c r="H300" s="291" t="s">
        <v>1556</v>
      </c>
      <c r="I300" s="291" t="s">
        <v>1556</v>
      </c>
      <c r="J300" s="291" t="s">
        <v>1557</v>
      </c>
      <c r="K300" s="291" t="s">
        <v>1557</v>
      </c>
    </row>
    <row r="301" spans="1:11" ht="22.5" customHeight="1" x14ac:dyDescent="0.25">
      <c r="A301" s="291"/>
      <c r="B301" s="1083" t="s">
        <v>818</v>
      </c>
      <c r="C301" s="280" t="s">
        <v>1341</v>
      </c>
      <c r="D301" s="280" t="s">
        <v>1271</v>
      </c>
      <c r="E301" s="1201">
        <v>0</v>
      </c>
      <c r="F301" s="280" t="s">
        <v>1558</v>
      </c>
      <c r="G301" s="280" t="s">
        <v>1559</v>
      </c>
      <c r="H301" s="280" t="s">
        <v>1559</v>
      </c>
      <c r="I301" s="280" t="s">
        <v>1559</v>
      </c>
      <c r="J301" s="1202" t="s">
        <v>1560</v>
      </c>
      <c r="K301" s="1202" t="s">
        <v>1560</v>
      </c>
    </row>
    <row r="302" spans="1:11" ht="25.5" x14ac:dyDescent="0.25">
      <c r="A302" s="291"/>
      <c r="B302" s="1083" t="s">
        <v>821</v>
      </c>
      <c r="C302" s="280" t="s">
        <v>1341</v>
      </c>
      <c r="D302" s="280" t="s">
        <v>1295</v>
      </c>
      <c r="E302" s="280">
        <v>1</v>
      </c>
      <c r="F302" s="280">
        <v>2</v>
      </c>
      <c r="G302" s="280">
        <v>2</v>
      </c>
      <c r="H302" s="280">
        <v>2</v>
      </c>
      <c r="I302" s="280">
        <v>2</v>
      </c>
      <c r="J302" s="280">
        <v>2</v>
      </c>
      <c r="K302" s="280">
        <v>11</v>
      </c>
    </row>
    <row r="303" spans="1:11" ht="25.5" x14ac:dyDescent="0.25">
      <c r="A303" s="291"/>
      <c r="B303" s="1083" t="s">
        <v>824</v>
      </c>
      <c r="C303" s="280" t="s">
        <v>1341</v>
      </c>
      <c r="D303" s="280" t="s">
        <v>1271</v>
      </c>
      <c r="E303" s="1201" t="s">
        <v>1561</v>
      </c>
      <c r="F303" s="1201" t="s">
        <v>1393</v>
      </c>
      <c r="G303" s="291" t="s">
        <v>1562</v>
      </c>
      <c r="H303" s="291" t="s">
        <v>1562</v>
      </c>
      <c r="I303" s="291" t="s">
        <v>1562</v>
      </c>
      <c r="J303" s="291" t="s">
        <v>1562</v>
      </c>
      <c r="K303" s="291" t="s">
        <v>1563</v>
      </c>
    </row>
    <row r="304" spans="1:11" ht="38.25" x14ac:dyDescent="0.25">
      <c r="A304" s="291"/>
      <c r="B304" s="135" t="s">
        <v>827</v>
      </c>
      <c r="C304" s="280" t="s">
        <v>1341</v>
      </c>
      <c r="D304" s="280" t="s">
        <v>1271</v>
      </c>
      <c r="E304" s="1202" t="s">
        <v>1548</v>
      </c>
      <c r="F304" s="1202" t="s">
        <v>1564</v>
      </c>
      <c r="G304" s="1128">
        <v>100</v>
      </c>
      <c r="H304" s="1128">
        <v>100</v>
      </c>
      <c r="I304" s="1128">
        <v>100</v>
      </c>
      <c r="J304" s="1128">
        <v>100</v>
      </c>
      <c r="K304" s="1128">
        <v>100</v>
      </c>
    </row>
    <row r="305" spans="1:11" ht="25.5" x14ac:dyDescent="0.25">
      <c r="A305" s="291"/>
      <c r="B305" s="1083" t="s">
        <v>829</v>
      </c>
      <c r="C305" s="280" t="s">
        <v>1341</v>
      </c>
      <c r="D305" s="280" t="s">
        <v>1271</v>
      </c>
      <c r="E305" s="1203">
        <v>0</v>
      </c>
      <c r="F305" s="1203">
        <v>25</v>
      </c>
      <c r="G305" s="1203">
        <v>25</v>
      </c>
      <c r="H305" s="1203">
        <v>25</v>
      </c>
      <c r="I305" s="1203">
        <v>25</v>
      </c>
      <c r="J305" s="1203">
        <v>50</v>
      </c>
      <c r="K305" s="1203">
        <v>50</v>
      </c>
    </row>
    <row r="306" spans="1:11" ht="26.25" customHeight="1" x14ac:dyDescent="0.25">
      <c r="A306" s="291"/>
      <c r="B306" s="1083" t="s">
        <v>830</v>
      </c>
      <c r="C306" s="280" t="s">
        <v>1341</v>
      </c>
      <c r="D306" s="280" t="s">
        <v>1271</v>
      </c>
      <c r="E306" s="1203">
        <v>95</v>
      </c>
      <c r="F306" s="1203">
        <v>95</v>
      </c>
      <c r="G306" s="1203">
        <v>98</v>
      </c>
      <c r="H306" s="1203">
        <v>100</v>
      </c>
      <c r="I306" s="1203">
        <v>100</v>
      </c>
      <c r="J306" s="1203">
        <v>100</v>
      </c>
      <c r="K306" s="1203">
        <v>100</v>
      </c>
    </row>
    <row r="307" spans="1:11" ht="21" customHeight="1" x14ac:dyDescent="0.25">
      <c r="A307" s="291"/>
      <c r="B307" s="1083" t="s">
        <v>831</v>
      </c>
      <c r="C307" s="280" t="s">
        <v>1341</v>
      </c>
      <c r="D307" s="280" t="s">
        <v>1565</v>
      </c>
      <c r="E307" s="291">
        <v>1</v>
      </c>
      <c r="F307" s="291">
        <v>1</v>
      </c>
      <c r="G307" s="291">
        <v>1</v>
      </c>
      <c r="H307" s="291">
        <v>1</v>
      </c>
      <c r="I307" s="291">
        <v>1</v>
      </c>
      <c r="J307" s="291">
        <v>1</v>
      </c>
      <c r="K307" s="1198">
        <v>7</v>
      </c>
    </row>
    <row r="308" spans="1:11" ht="25.5" x14ac:dyDescent="0.25">
      <c r="A308" s="1198"/>
      <c r="B308" s="135" t="s">
        <v>834</v>
      </c>
      <c r="C308" s="280" t="s">
        <v>1341</v>
      </c>
      <c r="D308" s="280" t="s">
        <v>1566</v>
      </c>
      <c r="E308" s="1198">
        <v>0</v>
      </c>
      <c r="F308" s="1198">
        <v>0</v>
      </c>
      <c r="G308" s="1198">
        <v>0</v>
      </c>
      <c r="H308" s="1198">
        <v>0</v>
      </c>
      <c r="I308" s="1198">
        <v>1</v>
      </c>
      <c r="J308" s="1198">
        <v>1</v>
      </c>
      <c r="K308" s="1198">
        <v>2</v>
      </c>
    </row>
    <row r="309" spans="1:11" ht="24" customHeight="1" x14ac:dyDescent="0.25">
      <c r="A309" s="1101" t="s">
        <v>837</v>
      </c>
      <c r="B309" s="1539" t="s">
        <v>838</v>
      </c>
      <c r="C309" s="1540"/>
      <c r="D309" s="1540"/>
      <c r="E309" s="1540"/>
      <c r="F309" s="1540"/>
      <c r="G309" s="1540"/>
      <c r="H309" s="1540"/>
      <c r="I309" s="1540"/>
      <c r="J309" s="1540"/>
      <c r="K309" s="1541"/>
    </row>
    <row r="310" spans="1:11" ht="38.25" x14ac:dyDescent="0.25">
      <c r="A310" s="1204"/>
      <c r="B310" s="292" t="s">
        <v>841</v>
      </c>
      <c r="C310" s="289" t="s">
        <v>844</v>
      </c>
      <c r="D310" s="280" t="s">
        <v>1271</v>
      </c>
      <c r="E310" s="1203">
        <v>43</v>
      </c>
      <c r="F310" s="1109">
        <v>43</v>
      </c>
      <c r="G310" s="1205" t="s">
        <v>1567</v>
      </c>
      <c r="H310" s="1205" t="s">
        <v>1568</v>
      </c>
      <c r="I310" s="1205" t="s">
        <v>1569</v>
      </c>
      <c r="J310" s="1205" t="s">
        <v>1570</v>
      </c>
      <c r="K310" s="1205" t="s">
        <v>1571</v>
      </c>
    </row>
    <row r="311" spans="1:11" ht="25.5" x14ac:dyDescent="0.25">
      <c r="A311" s="1204"/>
      <c r="B311" s="176" t="s">
        <v>845</v>
      </c>
      <c r="C311" s="289" t="s">
        <v>844</v>
      </c>
      <c r="D311" s="280" t="s">
        <v>1271</v>
      </c>
      <c r="E311" s="1185">
        <v>51</v>
      </c>
      <c r="F311" s="1206" t="s">
        <v>1572</v>
      </c>
      <c r="G311" s="1205" t="s">
        <v>1573</v>
      </c>
      <c r="H311" s="1205" t="s">
        <v>1574</v>
      </c>
      <c r="I311" s="1205" t="s">
        <v>1575</v>
      </c>
      <c r="J311" s="1205" t="s">
        <v>1576</v>
      </c>
      <c r="K311" s="1205" t="s">
        <v>1577</v>
      </c>
    </row>
    <row r="312" spans="1:11" ht="38.25" x14ac:dyDescent="0.25">
      <c r="A312" s="1207"/>
      <c r="B312" s="23" t="s">
        <v>847</v>
      </c>
      <c r="C312" s="25" t="s">
        <v>1578</v>
      </c>
      <c r="D312" s="280" t="s">
        <v>1271</v>
      </c>
      <c r="E312" s="1109">
        <v>0</v>
      </c>
      <c r="F312" s="1109">
        <v>0</v>
      </c>
      <c r="G312" s="1109">
        <v>100</v>
      </c>
      <c r="H312" s="1109">
        <v>100</v>
      </c>
      <c r="I312" s="1109">
        <v>100</v>
      </c>
      <c r="J312" s="1109">
        <v>100</v>
      </c>
      <c r="K312" s="1109">
        <v>100</v>
      </c>
    </row>
    <row r="313" spans="1:11" ht="38.25" x14ac:dyDescent="0.25">
      <c r="A313" s="1208"/>
      <c r="B313" s="365" t="s">
        <v>1579</v>
      </c>
      <c r="C313" s="25" t="s">
        <v>1578</v>
      </c>
      <c r="D313" s="1128" t="s">
        <v>1271</v>
      </c>
      <c r="E313" s="1109">
        <v>100</v>
      </c>
      <c r="F313" s="1109">
        <v>100</v>
      </c>
      <c r="G313" s="1109">
        <v>100</v>
      </c>
      <c r="H313" s="1109">
        <v>100</v>
      </c>
      <c r="I313" s="1109">
        <v>100</v>
      </c>
      <c r="J313" s="1109">
        <v>100</v>
      </c>
      <c r="K313" s="1109">
        <v>100</v>
      </c>
    </row>
    <row r="314" spans="1:11" ht="51" x14ac:dyDescent="0.25">
      <c r="A314" s="1204"/>
      <c r="B314" s="176" t="s">
        <v>852</v>
      </c>
      <c r="C314" s="289" t="s">
        <v>844</v>
      </c>
      <c r="D314" s="289" t="s">
        <v>1580</v>
      </c>
      <c r="E314" s="1185">
        <v>100</v>
      </c>
      <c r="F314" s="1185">
        <v>100</v>
      </c>
      <c r="G314" s="1185">
        <v>100</v>
      </c>
      <c r="H314" s="1185">
        <v>100</v>
      </c>
      <c r="I314" s="1185">
        <v>100</v>
      </c>
      <c r="J314" s="1185">
        <v>100</v>
      </c>
      <c r="K314" s="1185">
        <v>100</v>
      </c>
    </row>
    <row r="315" spans="1:11" ht="25.5" x14ac:dyDescent="0.25">
      <c r="A315" s="1204"/>
      <c r="B315" s="176" t="s">
        <v>855</v>
      </c>
      <c r="C315" s="289" t="s">
        <v>844</v>
      </c>
      <c r="D315" s="280" t="s">
        <v>1271</v>
      </c>
      <c r="E315" s="1185">
        <v>51</v>
      </c>
      <c r="F315" s="1205" t="s">
        <v>1572</v>
      </c>
      <c r="G315" s="1205" t="s">
        <v>1572</v>
      </c>
      <c r="H315" s="1205" t="s">
        <v>1581</v>
      </c>
      <c r="I315" s="1205" t="s">
        <v>1573</v>
      </c>
      <c r="J315" s="1205" t="s">
        <v>1574</v>
      </c>
      <c r="K315" s="1205" t="s">
        <v>1575</v>
      </c>
    </row>
    <row r="316" spans="1:11" ht="25.5" x14ac:dyDescent="0.25">
      <c r="A316" s="1209"/>
      <c r="B316" s="292" t="s">
        <v>857</v>
      </c>
      <c r="C316" s="289" t="s">
        <v>844</v>
      </c>
      <c r="D316" s="293" t="s">
        <v>1582</v>
      </c>
      <c r="E316" s="1185">
        <v>100</v>
      </c>
      <c r="F316" s="1185">
        <v>100</v>
      </c>
      <c r="G316" s="1185">
        <v>100</v>
      </c>
      <c r="H316" s="1185">
        <v>100</v>
      </c>
      <c r="I316" s="1185">
        <v>100</v>
      </c>
      <c r="J316" s="1185">
        <v>100</v>
      </c>
      <c r="K316" s="1185">
        <v>100</v>
      </c>
    </row>
    <row r="317" spans="1:11" ht="25.5" customHeight="1" x14ac:dyDescent="0.25">
      <c r="A317" s="1101" t="s">
        <v>859</v>
      </c>
      <c r="B317" s="1539" t="s">
        <v>1583</v>
      </c>
      <c r="C317" s="1540"/>
      <c r="D317" s="1540"/>
      <c r="E317" s="1540"/>
      <c r="F317" s="1540"/>
      <c r="G317" s="1540"/>
      <c r="H317" s="1540"/>
      <c r="I317" s="1540"/>
      <c r="J317" s="1540"/>
      <c r="K317" s="1541"/>
    </row>
    <row r="318" spans="1:11" ht="38.25" x14ac:dyDescent="0.25">
      <c r="A318" s="1552"/>
      <c r="B318" s="361" t="s">
        <v>863</v>
      </c>
      <c r="C318" s="1555"/>
      <c r="D318" s="1556"/>
      <c r="E318" s="1556"/>
      <c r="F318" s="1556"/>
      <c r="G318" s="1556"/>
      <c r="H318" s="1556"/>
      <c r="I318" s="1556"/>
      <c r="J318" s="1556"/>
      <c r="K318" s="1557"/>
    </row>
    <row r="319" spans="1:11" x14ac:dyDescent="0.25">
      <c r="A319" s="1553"/>
      <c r="B319" s="1143" t="s">
        <v>866</v>
      </c>
      <c r="C319" s="25" t="s">
        <v>1584</v>
      </c>
      <c r="D319" s="280" t="s">
        <v>1271</v>
      </c>
      <c r="E319" s="1124">
        <v>49</v>
      </c>
      <c r="F319" s="1124">
        <v>54</v>
      </c>
      <c r="G319" s="1124">
        <v>59</v>
      </c>
      <c r="H319" s="1124">
        <v>64</v>
      </c>
      <c r="I319" s="1124">
        <v>69</v>
      </c>
      <c r="J319" s="1124">
        <v>74</v>
      </c>
      <c r="K319" s="1124">
        <v>79</v>
      </c>
    </row>
    <row r="320" spans="1:11" x14ac:dyDescent="0.25">
      <c r="A320" s="1553"/>
      <c r="B320" s="1143" t="s">
        <v>868</v>
      </c>
      <c r="C320" s="25" t="s">
        <v>1584</v>
      </c>
      <c r="D320" s="280" t="s">
        <v>1271</v>
      </c>
      <c r="E320" s="1124">
        <v>51</v>
      </c>
      <c r="F320" s="1124">
        <v>56</v>
      </c>
      <c r="G320" s="1124">
        <v>61</v>
      </c>
      <c r="H320" s="1124">
        <v>66</v>
      </c>
      <c r="I320" s="1124">
        <v>71</v>
      </c>
      <c r="J320" s="1124">
        <v>76</v>
      </c>
      <c r="K320" s="1124">
        <v>81</v>
      </c>
    </row>
    <row r="321" spans="1:11" x14ac:dyDescent="0.25">
      <c r="A321" s="1554"/>
      <c r="B321" s="1143" t="s">
        <v>869</v>
      </c>
      <c r="C321" s="25" t="s">
        <v>1584</v>
      </c>
      <c r="D321" s="280" t="s">
        <v>1271</v>
      </c>
      <c r="E321" s="1124">
        <v>56</v>
      </c>
      <c r="F321" s="1124">
        <v>61</v>
      </c>
      <c r="G321" s="1124">
        <v>66</v>
      </c>
      <c r="H321" s="1124">
        <v>71</v>
      </c>
      <c r="I321" s="1124">
        <v>76</v>
      </c>
      <c r="J321" s="1124">
        <v>81</v>
      </c>
      <c r="K321" s="1124">
        <v>86</v>
      </c>
    </row>
    <row r="322" spans="1:11" ht="20.25" customHeight="1" x14ac:dyDescent="0.25">
      <c r="A322" s="25"/>
      <c r="B322" s="23" t="s">
        <v>870</v>
      </c>
      <c r="C322" s="25" t="s">
        <v>1584</v>
      </c>
      <c r="D322" s="1210" t="s">
        <v>1585</v>
      </c>
      <c r="E322" s="1210">
        <v>1</v>
      </c>
      <c r="F322" s="1124">
        <v>1</v>
      </c>
      <c r="G322" s="1211">
        <v>1</v>
      </c>
      <c r="H322" s="25">
        <v>1</v>
      </c>
      <c r="I322" s="25">
        <v>1</v>
      </c>
      <c r="J322" s="25">
        <v>1</v>
      </c>
      <c r="K322" s="25">
        <v>1</v>
      </c>
    </row>
    <row r="323" spans="1:11" ht="28.5" customHeight="1" x14ac:dyDescent="0.25">
      <c r="A323" s="25"/>
      <c r="B323" s="23" t="s">
        <v>871</v>
      </c>
      <c r="C323" s="25" t="s">
        <v>1584</v>
      </c>
      <c r="D323" s="280" t="s">
        <v>1271</v>
      </c>
      <c r="E323" s="1212">
        <v>25</v>
      </c>
      <c r="F323" s="273">
        <v>35</v>
      </c>
      <c r="G323" s="1213">
        <v>45</v>
      </c>
      <c r="H323" s="273">
        <v>55</v>
      </c>
      <c r="I323" s="273">
        <v>65</v>
      </c>
      <c r="J323" s="273">
        <v>75</v>
      </c>
      <c r="K323" s="273">
        <v>85</v>
      </c>
    </row>
    <row r="324" spans="1:11" ht="25.5" x14ac:dyDescent="0.25">
      <c r="A324" s="25"/>
      <c r="B324" s="23" t="s">
        <v>872</v>
      </c>
      <c r="C324" s="25" t="s">
        <v>1584</v>
      </c>
      <c r="D324" s="280" t="s">
        <v>1271</v>
      </c>
      <c r="E324" s="1214" t="s">
        <v>1586</v>
      </c>
      <c r="F324" s="273">
        <v>65</v>
      </c>
      <c r="G324" s="1213">
        <v>70</v>
      </c>
      <c r="H324" s="273">
        <v>75</v>
      </c>
      <c r="I324" s="273">
        <v>80</v>
      </c>
      <c r="J324" s="273">
        <v>85</v>
      </c>
      <c r="K324" s="273">
        <v>90</v>
      </c>
    </row>
    <row r="325" spans="1:11" ht="25.5" x14ac:dyDescent="0.25">
      <c r="A325" s="25"/>
      <c r="B325" s="23" t="s">
        <v>875</v>
      </c>
      <c r="C325" s="25" t="s">
        <v>1584</v>
      </c>
      <c r="D325" s="280" t="s">
        <v>1271</v>
      </c>
      <c r="E325" s="1214" t="s">
        <v>1587</v>
      </c>
      <c r="F325" s="1108" t="s">
        <v>1588</v>
      </c>
      <c r="G325" s="1108" t="s">
        <v>1589</v>
      </c>
      <c r="H325" s="1108" t="s">
        <v>1590</v>
      </c>
      <c r="I325" s="1108" t="s">
        <v>1591</v>
      </c>
      <c r="J325" s="1108" t="s">
        <v>1592</v>
      </c>
      <c r="K325" s="1108" t="s">
        <v>1593</v>
      </c>
    </row>
    <row r="326" spans="1:11" ht="19.5" customHeight="1" x14ac:dyDescent="0.25">
      <c r="A326" s="25"/>
      <c r="B326" s="23" t="s">
        <v>879</v>
      </c>
      <c r="C326" s="25" t="s">
        <v>1584</v>
      </c>
      <c r="D326" s="1210" t="s">
        <v>1594</v>
      </c>
      <c r="E326" s="1210">
        <v>19</v>
      </c>
      <c r="F326" s="1124">
        <v>16</v>
      </c>
      <c r="G326" s="1211">
        <v>13</v>
      </c>
      <c r="H326" s="25">
        <v>10</v>
      </c>
      <c r="I326" s="25">
        <v>7</v>
      </c>
      <c r="J326" s="25">
        <v>4</v>
      </c>
      <c r="K326" s="25">
        <v>1</v>
      </c>
    </row>
    <row r="327" spans="1:11" ht="25.5" x14ac:dyDescent="0.25">
      <c r="A327" s="25"/>
      <c r="B327" s="23" t="s">
        <v>1595</v>
      </c>
      <c r="C327" s="25" t="s">
        <v>1584</v>
      </c>
      <c r="D327" s="280" t="s">
        <v>1271</v>
      </c>
      <c r="E327" s="1212">
        <v>49</v>
      </c>
      <c r="F327" s="273">
        <v>44</v>
      </c>
      <c r="G327" s="1213">
        <v>39</v>
      </c>
      <c r="H327" s="273">
        <v>34</v>
      </c>
      <c r="I327" s="273">
        <v>29</v>
      </c>
      <c r="J327" s="273">
        <v>24</v>
      </c>
      <c r="K327" s="273">
        <v>19</v>
      </c>
    </row>
    <row r="328" spans="1:11" ht="25.5" x14ac:dyDescent="0.25">
      <c r="A328" s="25"/>
      <c r="B328" s="23" t="s">
        <v>881</v>
      </c>
      <c r="C328" s="25" t="s">
        <v>1584</v>
      </c>
      <c r="D328" s="280" t="s">
        <v>1271</v>
      </c>
      <c r="E328" s="1212">
        <v>31</v>
      </c>
      <c r="F328" s="273">
        <v>36</v>
      </c>
      <c r="G328" s="1213">
        <v>41</v>
      </c>
      <c r="H328" s="273">
        <v>46</v>
      </c>
      <c r="I328" s="273">
        <v>51</v>
      </c>
      <c r="J328" s="273">
        <v>56</v>
      </c>
      <c r="K328" s="273">
        <v>61</v>
      </c>
    </row>
    <row r="329" spans="1:11" ht="25.5" x14ac:dyDescent="0.25">
      <c r="A329" s="25"/>
      <c r="B329" s="23" t="s">
        <v>882</v>
      </c>
      <c r="C329" s="25" t="s">
        <v>1584</v>
      </c>
      <c r="D329" s="1210" t="s">
        <v>1596</v>
      </c>
      <c r="E329" s="1210">
        <v>7</v>
      </c>
      <c r="F329" s="1124">
        <v>8</v>
      </c>
      <c r="G329" s="1211">
        <v>9</v>
      </c>
      <c r="H329" s="25">
        <v>10</v>
      </c>
      <c r="I329" s="25">
        <v>11</v>
      </c>
      <c r="J329" s="25">
        <v>12</v>
      </c>
      <c r="K329" s="25">
        <v>13</v>
      </c>
    </row>
    <row r="330" spans="1:11" ht="63.75" x14ac:dyDescent="0.25">
      <c r="A330" s="25"/>
      <c r="B330" s="23" t="s">
        <v>1597</v>
      </c>
      <c r="C330" s="25" t="s">
        <v>1584</v>
      </c>
      <c r="D330" s="280" t="s">
        <v>1271</v>
      </c>
      <c r="E330" s="1212">
        <v>63</v>
      </c>
      <c r="F330" s="273">
        <v>66</v>
      </c>
      <c r="G330" s="1213">
        <v>69</v>
      </c>
      <c r="H330" s="273">
        <v>72</v>
      </c>
      <c r="I330" s="273">
        <v>75</v>
      </c>
      <c r="J330" s="273">
        <v>78</v>
      </c>
      <c r="K330" s="273">
        <v>81</v>
      </c>
    </row>
    <row r="331" spans="1:11" ht="51" x14ac:dyDescent="0.25">
      <c r="A331" s="25"/>
      <c r="B331" s="23" t="s">
        <v>887</v>
      </c>
      <c r="C331" s="25" t="s">
        <v>1584</v>
      </c>
      <c r="D331" s="280" t="s">
        <v>1271</v>
      </c>
      <c r="E331" s="1212">
        <v>36</v>
      </c>
      <c r="F331" s="273">
        <v>42</v>
      </c>
      <c r="G331" s="1213">
        <v>48</v>
      </c>
      <c r="H331" s="273">
        <v>54</v>
      </c>
      <c r="I331" s="273">
        <v>60</v>
      </c>
      <c r="J331" s="273">
        <v>66</v>
      </c>
      <c r="K331" s="273">
        <v>72</v>
      </c>
    </row>
    <row r="332" spans="1:11" ht="23.25" customHeight="1" x14ac:dyDescent="0.25">
      <c r="A332" s="1101" t="s">
        <v>888</v>
      </c>
      <c r="B332" s="1539" t="s">
        <v>1598</v>
      </c>
      <c r="C332" s="1540"/>
      <c r="D332" s="1540"/>
      <c r="E332" s="1540"/>
      <c r="F332" s="1540"/>
      <c r="G332" s="1540"/>
      <c r="H332" s="1540"/>
      <c r="I332" s="1540"/>
      <c r="J332" s="1540"/>
      <c r="K332" s="1541"/>
    </row>
    <row r="333" spans="1:11" ht="51" x14ac:dyDescent="0.25">
      <c r="A333" s="1215"/>
      <c r="B333" s="1123" t="s">
        <v>1599</v>
      </c>
      <c r="C333" s="1121" t="s">
        <v>896</v>
      </c>
      <c r="D333" s="1121" t="s">
        <v>1355</v>
      </c>
      <c r="E333" s="1121" t="s">
        <v>1600</v>
      </c>
      <c r="F333" s="1216" t="s">
        <v>217</v>
      </c>
      <c r="G333" s="1216" t="s">
        <v>217</v>
      </c>
      <c r="H333" s="1121" t="s">
        <v>1601</v>
      </c>
      <c r="I333" s="1216" t="s">
        <v>217</v>
      </c>
      <c r="J333" s="1216" t="s">
        <v>217</v>
      </c>
      <c r="K333" s="1121" t="s">
        <v>1600</v>
      </c>
    </row>
    <row r="334" spans="1:11" ht="51" x14ac:dyDescent="0.25">
      <c r="A334" s="1217"/>
      <c r="B334" s="23" t="s">
        <v>1602</v>
      </c>
      <c r="C334" s="1121" t="s">
        <v>896</v>
      </c>
      <c r="D334" s="1121" t="s">
        <v>1355</v>
      </c>
      <c r="E334" s="25">
        <v>1</v>
      </c>
      <c r="F334" s="273">
        <v>1</v>
      </c>
      <c r="G334" s="1216" t="s">
        <v>217</v>
      </c>
      <c r="H334" s="1216" t="s">
        <v>217</v>
      </c>
      <c r="I334" s="1216" t="s">
        <v>217</v>
      </c>
      <c r="J334" s="1216" t="s">
        <v>217</v>
      </c>
      <c r="K334" s="273">
        <v>2</v>
      </c>
    </row>
    <row r="335" spans="1:11" ht="38.25" x14ac:dyDescent="0.25">
      <c r="A335" s="1217"/>
      <c r="B335" s="23" t="s">
        <v>1603</v>
      </c>
      <c r="C335" s="1121" t="s">
        <v>896</v>
      </c>
      <c r="D335" s="25" t="s">
        <v>1271</v>
      </c>
      <c r="E335" s="273">
        <v>100</v>
      </c>
      <c r="F335" s="1124" t="s">
        <v>217</v>
      </c>
      <c r="G335" s="1124" t="s">
        <v>217</v>
      </c>
      <c r="H335" s="1124" t="s">
        <v>217</v>
      </c>
      <c r="I335" s="1124" t="s">
        <v>217</v>
      </c>
      <c r="J335" s="1124" t="s">
        <v>217</v>
      </c>
      <c r="K335" s="273">
        <v>100</v>
      </c>
    </row>
    <row r="336" spans="1:11" ht="38.25" x14ac:dyDescent="0.25">
      <c r="A336" s="1215"/>
      <c r="B336" s="23" t="s">
        <v>1604</v>
      </c>
      <c r="C336" s="1121" t="s">
        <v>896</v>
      </c>
      <c r="D336" s="25" t="s">
        <v>1271</v>
      </c>
      <c r="E336" s="273">
        <v>90</v>
      </c>
      <c r="F336" s="273">
        <v>90</v>
      </c>
      <c r="G336" s="273">
        <v>92</v>
      </c>
      <c r="H336" s="273">
        <v>93</v>
      </c>
      <c r="I336" s="273">
        <v>95</v>
      </c>
      <c r="J336" s="273">
        <v>96</v>
      </c>
      <c r="K336" s="273">
        <v>96</v>
      </c>
    </row>
    <row r="337" spans="1:11" ht="51" x14ac:dyDescent="0.25">
      <c r="A337" s="1215"/>
      <c r="B337" s="23" t="s">
        <v>1605</v>
      </c>
      <c r="C337" s="1121" t="s">
        <v>896</v>
      </c>
      <c r="D337" s="25" t="s">
        <v>1271</v>
      </c>
      <c r="E337" s="273">
        <v>100</v>
      </c>
      <c r="F337" s="273">
        <v>100</v>
      </c>
      <c r="G337" s="273">
        <v>100</v>
      </c>
      <c r="H337" s="273">
        <v>100</v>
      </c>
      <c r="I337" s="273">
        <v>100</v>
      </c>
      <c r="J337" s="273">
        <v>100</v>
      </c>
      <c r="K337" s="273">
        <v>100</v>
      </c>
    </row>
    <row r="338" spans="1:11" ht="25.5" x14ac:dyDescent="0.25">
      <c r="A338" s="1545"/>
      <c r="B338" s="23" t="s">
        <v>906</v>
      </c>
      <c r="C338" s="1218"/>
      <c r="D338" s="1548"/>
      <c r="E338" s="1549"/>
      <c r="F338" s="1549"/>
      <c r="G338" s="1549"/>
      <c r="H338" s="1549"/>
      <c r="I338" s="1549"/>
      <c r="J338" s="1549"/>
      <c r="K338" s="1550"/>
    </row>
    <row r="339" spans="1:11" x14ac:dyDescent="0.25">
      <c r="A339" s="1546"/>
      <c r="B339" s="23" t="s">
        <v>907</v>
      </c>
      <c r="C339" s="1121" t="s">
        <v>896</v>
      </c>
      <c r="D339" s="25" t="s">
        <v>1271</v>
      </c>
      <c r="E339" s="273">
        <v>23</v>
      </c>
      <c r="F339" s="273">
        <v>31</v>
      </c>
      <c r="G339" s="273">
        <v>54</v>
      </c>
      <c r="H339" s="273">
        <v>70</v>
      </c>
      <c r="I339" s="273">
        <v>90</v>
      </c>
      <c r="J339" s="273">
        <v>100</v>
      </c>
      <c r="K339" s="273">
        <v>100</v>
      </c>
    </row>
    <row r="340" spans="1:11" x14ac:dyDescent="0.25">
      <c r="A340" s="1546"/>
      <c r="B340" s="23" t="s">
        <v>908</v>
      </c>
      <c r="C340" s="1121" t="s">
        <v>896</v>
      </c>
      <c r="D340" s="25" t="s">
        <v>1271</v>
      </c>
      <c r="E340" s="273">
        <v>0</v>
      </c>
      <c r="F340" s="273">
        <v>0</v>
      </c>
      <c r="G340" s="273">
        <v>22</v>
      </c>
      <c r="H340" s="273">
        <v>44</v>
      </c>
      <c r="I340" s="273">
        <v>66</v>
      </c>
      <c r="J340" s="273">
        <v>100</v>
      </c>
      <c r="K340" s="273">
        <v>100</v>
      </c>
    </row>
    <row r="341" spans="1:11" x14ac:dyDescent="0.25">
      <c r="A341" s="1547"/>
      <c r="B341" s="23" t="s">
        <v>909</v>
      </c>
      <c r="C341" s="1121" t="s">
        <v>896</v>
      </c>
      <c r="D341" s="25" t="s">
        <v>1271</v>
      </c>
      <c r="E341" s="273">
        <v>30</v>
      </c>
      <c r="F341" s="273">
        <v>40</v>
      </c>
      <c r="G341" s="273">
        <v>50</v>
      </c>
      <c r="H341" s="273">
        <v>60</v>
      </c>
      <c r="I341" s="273">
        <v>70</v>
      </c>
      <c r="J341" s="273">
        <v>75</v>
      </c>
      <c r="K341" s="273">
        <v>75</v>
      </c>
    </row>
    <row r="342" spans="1:11" ht="51" x14ac:dyDescent="0.25">
      <c r="A342" s="1552"/>
      <c r="B342" s="1086" t="s">
        <v>1606</v>
      </c>
      <c r="C342" s="25" t="s">
        <v>1607</v>
      </c>
      <c r="D342" s="25" t="s">
        <v>1608</v>
      </c>
      <c r="E342" s="1146" t="s">
        <v>217</v>
      </c>
      <c r="F342" s="25">
        <v>8</v>
      </c>
      <c r="G342" s="25">
        <v>10</v>
      </c>
      <c r="H342" s="25">
        <v>12</v>
      </c>
      <c r="I342" s="25">
        <v>14</v>
      </c>
      <c r="J342" s="25">
        <v>16</v>
      </c>
      <c r="K342" s="25">
        <v>16</v>
      </c>
    </row>
    <row r="343" spans="1:11" ht="51" x14ac:dyDescent="0.25">
      <c r="A343" s="1554"/>
      <c r="B343" s="1086" t="s">
        <v>1609</v>
      </c>
      <c r="C343" s="25" t="s">
        <v>1607</v>
      </c>
      <c r="D343" s="25" t="s">
        <v>1610</v>
      </c>
      <c r="E343" s="25">
        <v>4</v>
      </c>
      <c r="F343" s="25">
        <v>7</v>
      </c>
      <c r="G343" s="25">
        <v>10</v>
      </c>
      <c r="H343" s="25">
        <v>12</v>
      </c>
      <c r="I343" s="25">
        <v>14</v>
      </c>
      <c r="J343" s="25">
        <v>16</v>
      </c>
      <c r="K343" s="25">
        <v>16</v>
      </c>
    </row>
    <row r="344" spans="1:11" ht="38.25" x14ac:dyDescent="0.25">
      <c r="A344" s="1215"/>
      <c r="B344" s="23" t="s">
        <v>1611</v>
      </c>
      <c r="C344" s="1121" t="s">
        <v>896</v>
      </c>
      <c r="D344" s="25" t="s">
        <v>1612</v>
      </c>
      <c r="E344" s="25">
        <v>1</v>
      </c>
      <c r="F344" s="1216" t="s">
        <v>217</v>
      </c>
      <c r="G344" s="1216" t="s">
        <v>217</v>
      </c>
      <c r="H344" s="25" t="s">
        <v>1613</v>
      </c>
      <c r="I344" s="1216" t="s">
        <v>217</v>
      </c>
      <c r="J344" s="1216" t="s">
        <v>217</v>
      </c>
      <c r="K344" s="25">
        <v>1</v>
      </c>
    </row>
    <row r="345" spans="1:11" ht="25.5" x14ac:dyDescent="0.25">
      <c r="A345" s="1215"/>
      <c r="B345" s="23" t="s">
        <v>1614</v>
      </c>
      <c r="C345" s="1121" t="s">
        <v>896</v>
      </c>
      <c r="D345" s="25" t="s">
        <v>1271</v>
      </c>
      <c r="E345" s="273">
        <v>98</v>
      </c>
      <c r="F345" s="273">
        <v>98</v>
      </c>
      <c r="G345" s="273">
        <v>0.98499999999999999</v>
      </c>
      <c r="H345" s="273">
        <v>98.5</v>
      </c>
      <c r="I345" s="273">
        <v>99</v>
      </c>
      <c r="J345" s="273">
        <v>99</v>
      </c>
      <c r="K345" s="273">
        <v>99</v>
      </c>
    </row>
    <row r="346" spans="1:11" ht="25.5" x14ac:dyDescent="0.25">
      <c r="A346" s="1215"/>
      <c r="B346" s="23" t="s">
        <v>918</v>
      </c>
      <c r="C346" s="1121" t="s">
        <v>896</v>
      </c>
      <c r="D346" s="25" t="s">
        <v>1271</v>
      </c>
      <c r="E346" s="273">
        <v>15</v>
      </c>
      <c r="F346" s="273">
        <v>30</v>
      </c>
      <c r="G346" s="273">
        <v>50</v>
      </c>
      <c r="H346" s="273">
        <v>69</v>
      </c>
      <c r="I346" s="273">
        <v>86</v>
      </c>
      <c r="J346" s="273">
        <v>100</v>
      </c>
      <c r="K346" s="273">
        <v>100</v>
      </c>
    </row>
    <row r="347" spans="1:11" ht="25.5" x14ac:dyDescent="0.25">
      <c r="A347" s="25"/>
      <c r="B347" s="23" t="s">
        <v>1615</v>
      </c>
      <c r="C347" s="1121" t="s">
        <v>896</v>
      </c>
      <c r="D347" s="25" t="s">
        <v>1271</v>
      </c>
      <c r="E347" s="25">
        <v>0</v>
      </c>
      <c r="F347" s="25" t="s">
        <v>1616</v>
      </c>
      <c r="G347" s="25" t="s">
        <v>1617</v>
      </c>
      <c r="H347" s="25" t="s">
        <v>1618</v>
      </c>
      <c r="I347" s="25" t="s">
        <v>1619</v>
      </c>
      <c r="J347" s="25" t="s">
        <v>1620</v>
      </c>
      <c r="K347" s="25" t="s">
        <v>1621</v>
      </c>
    </row>
    <row r="348" spans="1:11" ht="25.5" x14ac:dyDescent="0.25">
      <c r="A348" s="25"/>
      <c r="B348" s="23" t="s">
        <v>1622</v>
      </c>
      <c r="C348" s="1121" t="s">
        <v>896</v>
      </c>
      <c r="D348" s="25" t="s">
        <v>1271</v>
      </c>
      <c r="E348" s="25">
        <v>0</v>
      </c>
      <c r="F348" s="25" t="s">
        <v>1623</v>
      </c>
      <c r="G348" s="25" t="s">
        <v>1624</v>
      </c>
      <c r="H348" s="25" t="s">
        <v>1625</v>
      </c>
      <c r="I348" s="25" t="s">
        <v>1626</v>
      </c>
      <c r="J348" s="25" t="s">
        <v>1627</v>
      </c>
      <c r="K348" s="273">
        <v>85</v>
      </c>
    </row>
    <row r="349" spans="1:11" ht="51" x14ac:dyDescent="0.25">
      <c r="A349" s="1215"/>
      <c r="B349" s="23" t="s">
        <v>1628</v>
      </c>
      <c r="C349" s="1121" t="s">
        <v>896</v>
      </c>
      <c r="D349" s="25" t="s">
        <v>1271</v>
      </c>
      <c r="E349" s="273">
        <v>0</v>
      </c>
      <c r="F349" s="273">
        <v>0</v>
      </c>
      <c r="G349" s="25" t="s">
        <v>1629</v>
      </c>
      <c r="H349" s="25" t="s">
        <v>1630</v>
      </c>
      <c r="I349" s="25" t="s">
        <v>1631</v>
      </c>
      <c r="J349" s="25" t="s">
        <v>1632</v>
      </c>
      <c r="K349" s="25" t="s">
        <v>1633</v>
      </c>
    </row>
    <row r="350" spans="1:11" ht="25.5" x14ac:dyDescent="0.25">
      <c r="A350" s="1217"/>
      <c r="B350" s="23" t="s">
        <v>929</v>
      </c>
      <c r="C350" s="1121" t="s">
        <v>896</v>
      </c>
      <c r="D350" s="25" t="s">
        <v>1271</v>
      </c>
      <c r="E350" s="273">
        <v>30</v>
      </c>
      <c r="F350" s="273">
        <v>30</v>
      </c>
      <c r="G350" s="273">
        <v>40</v>
      </c>
      <c r="H350" s="273">
        <v>50</v>
      </c>
      <c r="I350" s="273">
        <v>50</v>
      </c>
      <c r="J350" s="273">
        <v>60</v>
      </c>
      <c r="K350" s="273">
        <v>60</v>
      </c>
    </row>
    <row r="351" spans="1:11" ht="25.5" x14ac:dyDescent="0.25">
      <c r="A351" s="1215"/>
      <c r="B351" s="23" t="s">
        <v>1634</v>
      </c>
      <c r="C351" s="1121" t="s">
        <v>896</v>
      </c>
      <c r="D351" s="25" t="s">
        <v>1271</v>
      </c>
      <c r="E351" s="273">
        <v>50</v>
      </c>
      <c r="F351" s="273">
        <v>55</v>
      </c>
      <c r="G351" s="273">
        <v>60</v>
      </c>
      <c r="H351" s="273">
        <v>60</v>
      </c>
      <c r="I351" s="273">
        <v>60</v>
      </c>
      <c r="J351" s="273">
        <v>65</v>
      </c>
      <c r="K351" s="273">
        <v>65</v>
      </c>
    </row>
    <row r="352" spans="1:11" ht="25.5" x14ac:dyDescent="0.25">
      <c r="A352" s="1215"/>
      <c r="B352" s="23" t="s">
        <v>1635</v>
      </c>
      <c r="C352" s="1121" t="s">
        <v>896</v>
      </c>
      <c r="D352" s="25" t="s">
        <v>1271</v>
      </c>
      <c r="E352" s="273">
        <v>75</v>
      </c>
      <c r="F352" s="273">
        <v>80</v>
      </c>
      <c r="G352" s="273">
        <v>80</v>
      </c>
      <c r="H352" s="273">
        <v>85</v>
      </c>
      <c r="I352" s="273">
        <v>85</v>
      </c>
      <c r="J352" s="273">
        <v>90</v>
      </c>
      <c r="K352" s="273">
        <v>90</v>
      </c>
    </row>
    <row r="353" spans="1:11" ht="25.5" x14ac:dyDescent="0.25">
      <c r="A353" s="1215"/>
      <c r="B353" s="23" t="s">
        <v>1636</v>
      </c>
      <c r="C353" s="1121" t="s">
        <v>896</v>
      </c>
      <c r="D353" s="25" t="s">
        <v>1271</v>
      </c>
      <c r="E353" s="273">
        <v>75</v>
      </c>
      <c r="F353" s="273">
        <v>80</v>
      </c>
      <c r="G353" s="273">
        <v>80</v>
      </c>
      <c r="H353" s="273">
        <v>85</v>
      </c>
      <c r="I353" s="273">
        <v>85</v>
      </c>
      <c r="J353" s="273">
        <v>90</v>
      </c>
      <c r="K353" s="273">
        <v>90</v>
      </c>
    </row>
    <row r="354" spans="1:11" ht="25.5" x14ac:dyDescent="0.25">
      <c r="A354" s="1215"/>
      <c r="B354" s="23" t="s">
        <v>1637</v>
      </c>
      <c r="C354" s="1121" t="s">
        <v>896</v>
      </c>
      <c r="D354" s="25" t="s">
        <v>1271</v>
      </c>
      <c r="E354" s="273">
        <v>50</v>
      </c>
      <c r="F354" s="273">
        <v>52</v>
      </c>
      <c r="G354" s="273">
        <v>55</v>
      </c>
      <c r="H354" s="273">
        <v>56</v>
      </c>
      <c r="I354" s="273">
        <v>57</v>
      </c>
      <c r="J354" s="273">
        <v>60</v>
      </c>
      <c r="K354" s="273">
        <v>60</v>
      </c>
    </row>
    <row r="355" spans="1:11" ht="25.5" x14ac:dyDescent="0.25">
      <c r="A355" s="1215"/>
      <c r="B355" s="23" t="s">
        <v>1638</v>
      </c>
      <c r="C355" s="1121" t="s">
        <v>896</v>
      </c>
      <c r="D355" s="25" t="s">
        <v>1271</v>
      </c>
      <c r="E355" s="273">
        <v>50</v>
      </c>
      <c r="F355" s="273">
        <v>52</v>
      </c>
      <c r="G355" s="273">
        <v>55</v>
      </c>
      <c r="H355" s="273">
        <v>56</v>
      </c>
      <c r="I355" s="273">
        <v>57</v>
      </c>
      <c r="J355" s="273">
        <v>60</v>
      </c>
      <c r="K355" s="273">
        <v>60</v>
      </c>
    </row>
    <row r="356" spans="1:11" ht="25.5" x14ac:dyDescent="0.25">
      <c r="A356" s="1215"/>
      <c r="B356" s="23" t="s">
        <v>1639</v>
      </c>
      <c r="C356" s="1121" t="s">
        <v>896</v>
      </c>
      <c r="D356" s="25" t="s">
        <v>1271</v>
      </c>
      <c r="E356" s="273">
        <v>20</v>
      </c>
      <c r="F356" s="273">
        <v>40</v>
      </c>
      <c r="G356" s="273">
        <v>60</v>
      </c>
      <c r="H356" s="273">
        <v>75</v>
      </c>
      <c r="I356" s="273">
        <v>90</v>
      </c>
      <c r="J356" s="273">
        <v>100</v>
      </c>
      <c r="K356" s="273">
        <v>100</v>
      </c>
    </row>
    <row r="357" spans="1:11" ht="51" x14ac:dyDescent="0.25">
      <c r="A357" s="1215"/>
      <c r="B357" s="23" t="s">
        <v>940</v>
      </c>
      <c r="C357" s="1121" t="s">
        <v>896</v>
      </c>
      <c r="D357" s="25" t="s">
        <v>1640</v>
      </c>
      <c r="E357" s="273" t="s">
        <v>941</v>
      </c>
      <c r="F357" s="273" t="s">
        <v>941</v>
      </c>
      <c r="G357" s="273" t="s">
        <v>941</v>
      </c>
      <c r="H357" s="273" t="s">
        <v>893</v>
      </c>
      <c r="I357" s="273" t="s">
        <v>893</v>
      </c>
      <c r="J357" s="273" t="s">
        <v>893</v>
      </c>
      <c r="K357" s="273" t="s">
        <v>942</v>
      </c>
    </row>
    <row r="358" spans="1:11" ht="27" customHeight="1" x14ac:dyDescent="0.25">
      <c r="A358" s="1101" t="s">
        <v>944</v>
      </c>
      <c r="B358" s="1539" t="s">
        <v>1641</v>
      </c>
      <c r="C358" s="1540"/>
      <c r="D358" s="1540"/>
      <c r="E358" s="1540"/>
      <c r="F358" s="1540"/>
      <c r="G358" s="1540"/>
      <c r="H358" s="1540"/>
      <c r="I358" s="1540"/>
      <c r="J358" s="1540"/>
      <c r="K358" s="1541"/>
    </row>
    <row r="359" spans="1:11" ht="42" customHeight="1" x14ac:dyDescent="0.25">
      <c r="A359" s="123"/>
      <c r="B359" s="1081" t="s">
        <v>1642</v>
      </c>
      <c r="C359" s="272" t="s">
        <v>1643</v>
      </c>
      <c r="D359" s="1128" t="s">
        <v>1271</v>
      </c>
      <c r="E359" s="1109">
        <v>100</v>
      </c>
      <c r="F359" s="1109">
        <v>100</v>
      </c>
      <c r="G359" s="1109">
        <v>100</v>
      </c>
      <c r="H359" s="1109">
        <v>100</v>
      </c>
      <c r="I359" s="1109">
        <v>100</v>
      </c>
      <c r="J359" s="1109">
        <v>100</v>
      </c>
      <c r="K359" s="1109">
        <v>100</v>
      </c>
    </row>
    <row r="360" spans="1:11" ht="42.75" customHeight="1" x14ac:dyDescent="0.25">
      <c r="A360" s="123"/>
      <c r="B360" s="1081" t="s">
        <v>952</v>
      </c>
      <c r="C360" s="272" t="s">
        <v>1643</v>
      </c>
      <c r="D360" s="1128" t="s">
        <v>1271</v>
      </c>
      <c r="E360" s="1109">
        <v>85</v>
      </c>
      <c r="F360" s="1109">
        <v>90</v>
      </c>
      <c r="G360" s="1109">
        <v>90</v>
      </c>
      <c r="H360" s="1109">
        <v>90</v>
      </c>
      <c r="I360" s="1109">
        <v>90</v>
      </c>
      <c r="J360" s="1109">
        <v>95</v>
      </c>
      <c r="K360" s="1109">
        <v>95</v>
      </c>
    </row>
    <row r="361" spans="1:11" ht="25.5" x14ac:dyDescent="0.25">
      <c r="A361" s="123"/>
      <c r="B361" s="1081" t="s">
        <v>1644</v>
      </c>
      <c r="C361" s="272" t="s">
        <v>1643</v>
      </c>
      <c r="D361" s="1128" t="s">
        <v>1271</v>
      </c>
      <c r="E361" s="1109">
        <v>95</v>
      </c>
      <c r="F361" s="1109">
        <v>100</v>
      </c>
      <c r="G361" s="1109">
        <v>100</v>
      </c>
      <c r="H361" s="1109">
        <v>100</v>
      </c>
      <c r="I361" s="1109">
        <v>100</v>
      </c>
      <c r="J361" s="1109">
        <v>100</v>
      </c>
      <c r="K361" s="1109">
        <v>100</v>
      </c>
    </row>
    <row r="362" spans="1:11" ht="42.75" customHeight="1" x14ac:dyDescent="0.25">
      <c r="A362" s="123"/>
      <c r="B362" s="1081" t="s">
        <v>963</v>
      </c>
      <c r="C362" s="272" t="s">
        <v>1643</v>
      </c>
      <c r="D362" s="1128" t="s">
        <v>1271</v>
      </c>
      <c r="E362" s="1109">
        <v>90</v>
      </c>
      <c r="F362" s="1109">
        <v>95</v>
      </c>
      <c r="G362" s="1109">
        <v>95</v>
      </c>
      <c r="H362" s="1109">
        <v>95</v>
      </c>
      <c r="I362" s="1109">
        <v>95</v>
      </c>
      <c r="J362" s="1109">
        <v>95</v>
      </c>
      <c r="K362" s="1109">
        <v>95</v>
      </c>
    </row>
    <row r="363" spans="1:11" ht="45.75" customHeight="1" x14ac:dyDescent="0.25">
      <c r="A363" s="123"/>
      <c r="B363" s="1081" t="s">
        <v>954</v>
      </c>
      <c r="C363" s="272" t="s">
        <v>1643</v>
      </c>
      <c r="D363" s="1128" t="s">
        <v>1271</v>
      </c>
      <c r="E363" s="1109">
        <v>100</v>
      </c>
      <c r="F363" s="1109">
        <v>100</v>
      </c>
      <c r="G363" s="1109">
        <v>100</v>
      </c>
      <c r="H363" s="1109">
        <v>100</v>
      </c>
      <c r="I363" s="1109">
        <v>100</v>
      </c>
      <c r="J363" s="1109">
        <v>100</v>
      </c>
      <c r="K363" s="1109">
        <v>100</v>
      </c>
    </row>
    <row r="364" spans="1:11" ht="30" customHeight="1" x14ac:dyDescent="0.25">
      <c r="A364" s="1215"/>
      <c r="B364" s="23" t="s">
        <v>1645</v>
      </c>
      <c r="C364" s="1121" t="s">
        <v>896</v>
      </c>
      <c r="D364" s="25" t="s">
        <v>1271</v>
      </c>
      <c r="E364" s="273">
        <v>50</v>
      </c>
      <c r="F364" s="273">
        <v>60</v>
      </c>
      <c r="G364" s="273">
        <v>70</v>
      </c>
      <c r="H364" s="273">
        <v>85</v>
      </c>
      <c r="I364" s="273">
        <v>90</v>
      </c>
      <c r="J364" s="273">
        <v>95</v>
      </c>
      <c r="K364" s="273">
        <v>95</v>
      </c>
    </row>
    <row r="365" spans="1:11" ht="32.25" customHeight="1" x14ac:dyDescent="0.25">
      <c r="A365" s="1219"/>
      <c r="B365" s="41" t="s">
        <v>967</v>
      </c>
      <c r="C365" s="1121" t="s">
        <v>896</v>
      </c>
      <c r="D365" s="272" t="s">
        <v>1271</v>
      </c>
      <c r="E365" s="1181">
        <v>70</v>
      </c>
      <c r="F365" s="1181">
        <v>75</v>
      </c>
      <c r="G365" s="1181">
        <v>75</v>
      </c>
      <c r="H365" s="1181">
        <v>80</v>
      </c>
      <c r="I365" s="1181">
        <v>80</v>
      </c>
      <c r="J365" s="1181">
        <v>85</v>
      </c>
      <c r="K365" s="1181">
        <v>85</v>
      </c>
    </row>
    <row r="366" spans="1:11" ht="33" customHeight="1" x14ac:dyDescent="0.25">
      <c r="A366" s="123"/>
      <c r="B366" s="1085" t="s">
        <v>969</v>
      </c>
      <c r="C366" s="153" t="s">
        <v>1646</v>
      </c>
      <c r="D366" s="272" t="s">
        <v>1271</v>
      </c>
      <c r="E366" s="1181">
        <v>85</v>
      </c>
      <c r="F366" s="1181">
        <v>87</v>
      </c>
      <c r="G366" s="1181">
        <v>90</v>
      </c>
      <c r="H366" s="1181">
        <v>90</v>
      </c>
      <c r="I366" s="1181">
        <v>90</v>
      </c>
      <c r="J366" s="1181">
        <v>95</v>
      </c>
      <c r="K366" s="1181">
        <v>95</v>
      </c>
    </row>
    <row r="367" spans="1:11" ht="30.75" customHeight="1" x14ac:dyDescent="0.25">
      <c r="A367" s="25"/>
      <c r="B367" s="1086" t="s">
        <v>973</v>
      </c>
      <c r="C367" s="123" t="s">
        <v>1607</v>
      </c>
      <c r="D367" s="280" t="s">
        <v>1271</v>
      </c>
      <c r="E367" s="1181">
        <v>100</v>
      </c>
      <c r="F367" s="1181">
        <v>100</v>
      </c>
      <c r="G367" s="1181">
        <v>100</v>
      </c>
      <c r="H367" s="1181">
        <v>100</v>
      </c>
      <c r="I367" s="1181">
        <v>100</v>
      </c>
      <c r="J367" s="1181">
        <v>100</v>
      </c>
      <c r="K367" s="1181">
        <v>100</v>
      </c>
    </row>
    <row r="368" spans="1:11" ht="31.5" customHeight="1" x14ac:dyDescent="0.25">
      <c r="A368" s="25"/>
      <c r="B368" s="1086" t="s">
        <v>975</v>
      </c>
      <c r="C368" s="25" t="s">
        <v>1607</v>
      </c>
      <c r="D368" s="25" t="s">
        <v>1304</v>
      </c>
      <c r="E368" s="25">
        <v>5</v>
      </c>
      <c r="F368" s="25">
        <v>1</v>
      </c>
      <c r="G368" s="25">
        <v>1</v>
      </c>
      <c r="H368" s="25">
        <v>1</v>
      </c>
      <c r="I368" s="25">
        <v>1</v>
      </c>
      <c r="J368" s="25">
        <v>1</v>
      </c>
      <c r="K368" s="25">
        <v>5</v>
      </c>
    </row>
    <row r="369" spans="1:11" ht="31.5" customHeight="1" x14ac:dyDescent="0.25">
      <c r="B369" s="1086" t="s">
        <v>977</v>
      </c>
      <c r="C369" s="25" t="s">
        <v>1607</v>
      </c>
      <c r="D369" s="280" t="s">
        <v>1271</v>
      </c>
      <c r="E369" s="25" t="s">
        <v>1647</v>
      </c>
      <c r="F369" s="25" t="s">
        <v>1648</v>
      </c>
      <c r="G369" s="25" t="s">
        <v>1649</v>
      </c>
      <c r="H369" s="25" t="s">
        <v>1650</v>
      </c>
      <c r="I369" s="25" t="s">
        <v>1276</v>
      </c>
      <c r="J369" s="25" t="s">
        <v>1651</v>
      </c>
      <c r="K369" s="25" t="s">
        <v>1651</v>
      </c>
    </row>
    <row r="370" spans="1:11" ht="22.5" customHeight="1" x14ac:dyDescent="0.25">
      <c r="A370" s="25"/>
      <c r="B370" s="1086" t="s">
        <v>980</v>
      </c>
      <c r="C370" s="25" t="s">
        <v>1607</v>
      </c>
      <c r="D370" s="25" t="s">
        <v>1652</v>
      </c>
      <c r="E370" s="25">
        <v>3</v>
      </c>
      <c r="F370" s="25">
        <v>3</v>
      </c>
      <c r="G370" s="25">
        <v>3</v>
      </c>
      <c r="H370" s="25">
        <v>3</v>
      </c>
      <c r="I370" s="25">
        <v>3</v>
      </c>
      <c r="J370" s="25">
        <v>3</v>
      </c>
      <c r="K370" s="25">
        <v>3</v>
      </c>
    </row>
    <row r="371" spans="1:11" ht="30" customHeight="1" x14ac:dyDescent="0.25">
      <c r="A371" s="1220"/>
      <c r="B371" s="174" t="s">
        <v>1653</v>
      </c>
      <c r="C371" s="25" t="s">
        <v>1654</v>
      </c>
      <c r="D371" s="1128" t="s">
        <v>1271</v>
      </c>
      <c r="E371" s="1185">
        <v>80</v>
      </c>
      <c r="F371" s="1185">
        <v>85</v>
      </c>
      <c r="G371" s="1185">
        <v>90</v>
      </c>
      <c r="H371" s="1185">
        <v>95</v>
      </c>
      <c r="I371" s="1109">
        <v>100</v>
      </c>
      <c r="J371" s="1109">
        <v>100</v>
      </c>
      <c r="K371" s="1109">
        <v>100</v>
      </c>
    </row>
    <row r="372" spans="1:11" ht="30" customHeight="1" x14ac:dyDescent="0.25">
      <c r="A372" s="1220"/>
      <c r="B372" s="348" t="s">
        <v>1834</v>
      </c>
      <c r="C372" s="25" t="s">
        <v>1654</v>
      </c>
      <c r="D372" s="1221" t="s">
        <v>1835</v>
      </c>
      <c r="E372" s="1222" t="s">
        <v>1836</v>
      </c>
      <c r="F372" s="1222">
        <v>0.8</v>
      </c>
      <c r="G372" s="1222" t="s">
        <v>1837</v>
      </c>
      <c r="H372" s="1222" t="s">
        <v>1838</v>
      </c>
      <c r="I372" s="1222">
        <v>1</v>
      </c>
      <c r="J372" s="1222">
        <v>1</v>
      </c>
      <c r="K372" s="1222">
        <v>1</v>
      </c>
    </row>
    <row r="373" spans="1:11" ht="43.5" customHeight="1" x14ac:dyDescent="0.25">
      <c r="A373" s="25"/>
      <c r="B373" s="294" t="s">
        <v>987</v>
      </c>
      <c r="C373" s="295" t="s">
        <v>1306</v>
      </c>
      <c r="D373" s="1128" t="s">
        <v>1271</v>
      </c>
      <c r="E373" s="1185">
        <v>3</v>
      </c>
      <c r="F373" s="1185">
        <v>95</v>
      </c>
      <c r="G373" s="1185">
        <v>95</v>
      </c>
      <c r="H373" s="1185">
        <v>97</v>
      </c>
      <c r="I373" s="1109">
        <v>99</v>
      </c>
      <c r="J373" s="1109">
        <v>99</v>
      </c>
      <c r="K373" s="1109">
        <v>99</v>
      </c>
    </row>
    <row r="374" spans="1:11" ht="43.5" customHeight="1" x14ac:dyDescent="0.25">
      <c r="A374" s="25"/>
      <c r="B374" s="23" t="s">
        <v>1806</v>
      </c>
      <c r="C374" s="295" t="s">
        <v>1306</v>
      </c>
      <c r="D374" s="1128" t="s">
        <v>1271</v>
      </c>
      <c r="E374" s="1109">
        <v>99</v>
      </c>
      <c r="F374" s="1109">
        <v>99</v>
      </c>
      <c r="G374" s="1109">
        <v>99</v>
      </c>
      <c r="H374" s="1109">
        <v>99</v>
      </c>
      <c r="I374" s="1109">
        <v>99</v>
      </c>
      <c r="J374" s="1109">
        <v>99</v>
      </c>
      <c r="K374" s="1109">
        <v>99</v>
      </c>
    </row>
    <row r="375" spans="1:11" ht="23.25" customHeight="1" x14ac:dyDescent="0.25">
      <c r="A375" s="1101" t="s">
        <v>998</v>
      </c>
      <c r="B375" s="1539" t="s">
        <v>1655</v>
      </c>
      <c r="C375" s="1540"/>
      <c r="D375" s="1540"/>
      <c r="E375" s="1540"/>
      <c r="F375" s="1540"/>
      <c r="G375" s="1540"/>
      <c r="H375" s="1540"/>
      <c r="I375" s="1540"/>
      <c r="J375" s="1540"/>
      <c r="K375" s="1541"/>
    </row>
    <row r="376" spans="1:11" ht="29.25" customHeight="1" x14ac:dyDescent="0.25">
      <c r="A376" s="123"/>
      <c r="B376" s="1085" t="s">
        <v>990</v>
      </c>
      <c r="C376" s="153" t="s">
        <v>1656</v>
      </c>
      <c r="D376" s="153" t="s">
        <v>1304</v>
      </c>
      <c r="E376" s="1109">
        <v>131</v>
      </c>
      <c r="F376" s="1109">
        <v>10</v>
      </c>
      <c r="G376" s="1109">
        <v>20</v>
      </c>
      <c r="H376" s="1109">
        <v>15</v>
      </c>
      <c r="I376" s="1109">
        <v>20</v>
      </c>
      <c r="J376" s="1109">
        <v>20</v>
      </c>
      <c r="K376" s="1109">
        <v>85</v>
      </c>
    </row>
    <row r="377" spans="1:11" ht="63.75" x14ac:dyDescent="0.25">
      <c r="A377" s="123"/>
      <c r="B377" s="1085" t="s">
        <v>992</v>
      </c>
      <c r="C377" s="153" t="s">
        <v>1656</v>
      </c>
      <c r="D377" s="153" t="s">
        <v>1304</v>
      </c>
      <c r="E377" s="1109">
        <v>35</v>
      </c>
      <c r="F377" s="1109">
        <v>7</v>
      </c>
      <c r="G377" s="1109">
        <v>9</v>
      </c>
      <c r="H377" s="1109">
        <v>8</v>
      </c>
      <c r="I377" s="1109">
        <v>8</v>
      </c>
      <c r="J377" s="1109">
        <v>10</v>
      </c>
      <c r="K377" s="1109">
        <v>42</v>
      </c>
    </row>
    <row r="378" spans="1:11" ht="33.75" customHeight="1" x14ac:dyDescent="0.25">
      <c r="A378" s="123"/>
      <c r="B378" s="1085" t="s">
        <v>993</v>
      </c>
      <c r="C378" s="153" t="s">
        <v>1656</v>
      </c>
      <c r="D378" s="153" t="s">
        <v>1304</v>
      </c>
      <c r="E378" s="1109">
        <v>300</v>
      </c>
      <c r="F378" s="1109">
        <v>65</v>
      </c>
      <c r="G378" s="1109">
        <v>70</v>
      </c>
      <c r="H378" s="1109">
        <v>70</v>
      </c>
      <c r="I378" s="1109">
        <v>60</v>
      </c>
      <c r="J378" s="1109">
        <v>60</v>
      </c>
      <c r="K378" s="1109">
        <v>325</v>
      </c>
    </row>
    <row r="379" spans="1:11" ht="23.25" customHeight="1" x14ac:dyDescent="0.25">
      <c r="A379" s="123"/>
      <c r="B379" s="1085" t="s">
        <v>994</v>
      </c>
      <c r="C379" s="153" t="s">
        <v>1656</v>
      </c>
      <c r="D379" s="153" t="s">
        <v>1304</v>
      </c>
      <c r="E379" s="1109">
        <v>52</v>
      </c>
      <c r="F379" s="1109">
        <v>9</v>
      </c>
      <c r="G379" s="1109">
        <v>13</v>
      </c>
      <c r="H379" s="1109">
        <v>15</v>
      </c>
      <c r="I379" s="1109">
        <v>15</v>
      </c>
      <c r="J379" s="1109">
        <v>3</v>
      </c>
      <c r="K379" s="1109">
        <v>55</v>
      </c>
    </row>
    <row r="380" spans="1:11" ht="25.5" customHeight="1" x14ac:dyDescent="0.25">
      <c r="A380" s="123"/>
      <c r="B380" s="1085" t="s">
        <v>995</v>
      </c>
      <c r="C380" s="153" t="s">
        <v>1656</v>
      </c>
      <c r="D380" s="153" t="s">
        <v>1304</v>
      </c>
      <c r="E380" s="1109">
        <v>12</v>
      </c>
      <c r="F380" s="1109">
        <v>3</v>
      </c>
      <c r="G380" s="1109">
        <v>3</v>
      </c>
      <c r="H380" s="1109">
        <v>3</v>
      </c>
      <c r="I380" s="1109">
        <v>3</v>
      </c>
      <c r="J380" s="1109">
        <v>3</v>
      </c>
      <c r="K380" s="1109">
        <v>15</v>
      </c>
    </row>
    <row r="381" spans="1:11" ht="38.25" x14ac:dyDescent="0.25">
      <c r="A381" s="123"/>
      <c r="B381" s="1085" t="s">
        <v>996</v>
      </c>
      <c r="C381" s="153" t="s">
        <v>1656</v>
      </c>
      <c r="D381" s="153" t="s">
        <v>1304</v>
      </c>
      <c r="E381" s="1109">
        <v>48</v>
      </c>
      <c r="F381" s="1109">
        <v>12</v>
      </c>
      <c r="G381" s="1109">
        <v>12</v>
      </c>
      <c r="H381" s="1109">
        <v>12</v>
      </c>
      <c r="I381" s="1109">
        <v>12</v>
      </c>
      <c r="J381" s="1109">
        <v>12</v>
      </c>
      <c r="K381" s="1109">
        <v>60</v>
      </c>
    </row>
    <row r="382" spans="1:11" ht="29.25" customHeight="1" x14ac:dyDescent="0.25">
      <c r="A382" s="123"/>
      <c r="B382" s="1085" t="s">
        <v>997</v>
      </c>
      <c r="C382" s="153" t="s">
        <v>1656</v>
      </c>
      <c r="D382" s="153" t="s">
        <v>1304</v>
      </c>
      <c r="E382" s="1109">
        <v>5</v>
      </c>
      <c r="F382" s="1109">
        <v>1</v>
      </c>
      <c r="G382" s="1109">
        <v>2</v>
      </c>
      <c r="H382" s="1109">
        <v>2</v>
      </c>
      <c r="I382" s="1109">
        <v>1</v>
      </c>
      <c r="J382" s="1109">
        <v>1</v>
      </c>
      <c r="K382" s="1109">
        <v>7</v>
      </c>
    </row>
    <row r="383" spans="1:11" ht="27.75" customHeight="1" x14ac:dyDescent="0.25">
      <c r="A383" s="123"/>
      <c r="B383" s="1085" t="s">
        <v>1657</v>
      </c>
      <c r="C383" s="153" t="s">
        <v>1656</v>
      </c>
      <c r="D383" s="153" t="s">
        <v>1304</v>
      </c>
      <c r="E383" s="1109">
        <v>131</v>
      </c>
      <c r="F383" s="1109">
        <v>10</v>
      </c>
      <c r="G383" s="1109">
        <v>20</v>
      </c>
      <c r="H383" s="1109">
        <v>15</v>
      </c>
      <c r="I383" s="1109">
        <v>20</v>
      </c>
      <c r="J383" s="1109">
        <v>20</v>
      </c>
      <c r="K383" s="1109">
        <v>131</v>
      </c>
    </row>
    <row r="384" spans="1:11" ht="27.75" customHeight="1" x14ac:dyDescent="0.25">
      <c r="A384" s="25"/>
      <c r="B384" s="1086" t="s">
        <v>1001</v>
      </c>
      <c r="C384" s="25" t="s">
        <v>1003</v>
      </c>
      <c r="D384" s="280" t="s">
        <v>1271</v>
      </c>
      <c r="E384" s="25">
        <v>90</v>
      </c>
      <c r="F384" s="25">
        <v>90</v>
      </c>
      <c r="G384" s="25">
        <v>90</v>
      </c>
      <c r="H384" s="25">
        <v>90</v>
      </c>
      <c r="I384" s="25">
        <v>90</v>
      </c>
      <c r="J384" s="25">
        <v>95</v>
      </c>
      <c r="K384" s="25">
        <v>95</v>
      </c>
    </row>
    <row r="385" spans="1:11" ht="29.25" customHeight="1" x14ac:dyDescent="0.25">
      <c r="A385" s="25"/>
      <c r="B385" s="1086" t="s">
        <v>1004</v>
      </c>
      <c r="C385" s="25" t="s">
        <v>1658</v>
      </c>
      <c r="D385" s="280" t="s">
        <v>1271</v>
      </c>
      <c r="E385" s="1223">
        <v>100</v>
      </c>
      <c r="F385" s="1223">
        <v>100</v>
      </c>
      <c r="G385" s="1223">
        <v>100</v>
      </c>
      <c r="H385" s="1223">
        <v>100</v>
      </c>
      <c r="I385" s="1223">
        <v>100</v>
      </c>
      <c r="J385" s="1223">
        <v>100</v>
      </c>
      <c r="K385" s="1223">
        <v>100</v>
      </c>
    </row>
    <row r="386" spans="1:11" ht="70.5" customHeight="1" x14ac:dyDescent="0.25">
      <c r="A386" s="123"/>
      <c r="B386" s="23" t="s">
        <v>1659</v>
      </c>
      <c r="C386" s="25" t="s">
        <v>1660</v>
      </c>
      <c r="D386" s="25" t="s">
        <v>1661</v>
      </c>
      <c r="E386" s="1224">
        <v>6000</v>
      </c>
      <c r="F386" s="1224">
        <v>12000</v>
      </c>
      <c r="G386" s="1224">
        <v>21600</v>
      </c>
      <c r="H386" s="1224">
        <v>38000</v>
      </c>
      <c r="I386" s="1224">
        <v>69984</v>
      </c>
      <c r="J386" s="1224">
        <v>125971</v>
      </c>
      <c r="K386" s="1224">
        <v>274435</v>
      </c>
    </row>
    <row r="387" spans="1:11" ht="38.25" x14ac:dyDescent="0.25">
      <c r="A387" s="1225"/>
      <c r="B387" s="265" t="s">
        <v>1008</v>
      </c>
      <c r="C387" s="25" t="s">
        <v>1660</v>
      </c>
      <c r="D387" s="25" t="s">
        <v>1662</v>
      </c>
      <c r="E387" s="1226">
        <v>30</v>
      </c>
      <c r="F387" s="1226">
        <v>37</v>
      </c>
      <c r="G387" s="1226">
        <v>40</v>
      </c>
      <c r="H387" s="1226">
        <v>40</v>
      </c>
      <c r="I387" s="1226">
        <v>40</v>
      </c>
      <c r="J387" s="1226">
        <v>40</v>
      </c>
      <c r="K387" s="1226">
        <v>40</v>
      </c>
    </row>
    <row r="388" spans="1:11" ht="67.5" customHeight="1" x14ac:dyDescent="0.25">
      <c r="A388" s="123"/>
      <c r="B388" s="1218" t="s">
        <v>1014</v>
      </c>
      <c r="C388" s="25" t="s">
        <v>1660</v>
      </c>
      <c r="D388" s="25" t="s">
        <v>1662</v>
      </c>
      <c r="E388" s="1226">
        <v>30</v>
      </c>
      <c r="F388" s="1226">
        <v>37</v>
      </c>
      <c r="G388" s="1226">
        <v>40</v>
      </c>
      <c r="H388" s="1226">
        <v>40</v>
      </c>
      <c r="I388" s="1226">
        <v>40</v>
      </c>
      <c r="J388" s="1226">
        <v>40</v>
      </c>
      <c r="K388" s="1226">
        <v>40</v>
      </c>
    </row>
    <row r="389" spans="1:11" ht="20.25" customHeight="1" x14ac:dyDescent="0.25">
      <c r="A389" s="1101" t="s">
        <v>1025</v>
      </c>
      <c r="B389" s="1539" t="s">
        <v>1663</v>
      </c>
      <c r="C389" s="1540"/>
      <c r="D389" s="1540"/>
      <c r="E389" s="1540"/>
      <c r="F389" s="1540"/>
      <c r="G389" s="1540"/>
      <c r="H389" s="1540"/>
      <c r="I389" s="1540"/>
      <c r="J389" s="1540"/>
      <c r="K389" s="1541"/>
    </row>
    <row r="390" spans="1:11" ht="29.25" customHeight="1" x14ac:dyDescent="0.25">
      <c r="A390" s="1227" t="s">
        <v>1664</v>
      </c>
      <c r="B390" s="1228" t="s">
        <v>1665</v>
      </c>
      <c r="C390" s="1528"/>
      <c r="D390" s="1529"/>
      <c r="E390" s="1529"/>
      <c r="F390" s="1529"/>
      <c r="G390" s="1529"/>
      <c r="H390" s="1529"/>
      <c r="I390" s="1529"/>
      <c r="J390" s="1529"/>
      <c r="K390" s="1530"/>
    </row>
    <row r="391" spans="1:11" ht="28.5" customHeight="1" x14ac:dyDescent="0.25">
      <c r="A391" s="1229"/>
      <c r="B391" s="1083" t="s">
        <v>1032</v>
      </c>
      <c r="C391" s="280" t="s">
        <v>1031</v>
      </c>
      <c r="D391" s="280" t="s">
        <v>1271</v>
      </c>
      <c r="E391" s="1128" t="s">
        <v>1666</v>
      </c>
      <c r="F391" s="1128" t="s">
        <v>1667</v>
      </c>
      <c r="G391" s="1128">
        <v>77</v>
      </c>
      <c r="H391" s="1128" t="s">
        <v>1668</v>
      </c>
      <c r="I391" s="1128" t="s">
        <v>1669</v>
      </c>
      <c r="J391" s="1128">
        <v>100</v>
      </c>
      <c r="K391" s="1128">
        <v>100</v>
      </c>
    </row>
    <row r="392" spans="1:11" ht="25.5" x14ac:dyDescent="0.25">
      <c r="A392" s="1229"/>
      <c r="B392" s="1083" t="s">
        <v>1670</v>
      </c>
      <c r="C392" s="280" t="s">
        <v>1031</v>
      </c>
      <c r="D392" s="280" t="s">
        <v>1295</v>
      </c>
      <c r="E392" s="280">
        <v>45</v>
      </c>
      <c r="F392" s="280">
        <v>60</v>
      </c>
      <c r="G392" s="280">
        <v>25</v>
      </c>
      <c r="H392" s="280">
        <v>25</v>
      </c>
      <c r="I392" s="280">
        <v>65</v>
      </c>
      <c r="J392" s="280">
        <v>60</v>
      </c>
      <c r="K392" s="291">
        <v>60</v>
      </c>
    </row>
    <row r="393" spans="1:11" ht="38.25" x14ac:dyDescent="0.25">
      <c r="A393" s="1229"/>
      <c r="B393" s="1083" t="s">
        <v>1035</v>
      </c>
      <c r="C393" s="280" t="s">
        <v>1031</v>
      </c>
      <c r="D393" s="280" t="s">
        <v>1295</v>
      </c>
      <c r="E393" s="280">
        <v>0</v>
      </c>
      <c r="F393" s="280">
        <v>36</v>
      </c>
      <c r="G393" s="280">
        <v>36</v>
      </c>
      <c r="H393" s="280">
        <v>36</v>
      </c>
      <c r="I393" s="280">
        <v>36</v>
      </c>
      <c r="J393" s="280">
        <v>36</v>
      </c>
      <c r="K393" s="280">
        <f>SUM(E393:J393)</f>
        <v>180</v>
      </c>
    </row>
    <row r="394" spans="1:11" ht="38.25" x14ac:dyDescent="0.25">
      <c r="A394" s="1229"/>
      <c r="B394" s="1083" t="s">
        <v>1671</v>
      </c>
      <c r="C394" s="280" t="s">
        <v>1031</v>
      </c>
      <c r="D394" s="280" t="s">
        <v>1295</v>
      </c>
      <c r="E394" s="280">
        <v>60</v>
      </c>
      <c r="F394" s="280">
        <v>65</v>
      </c>
      <c r="G394" s="280">
        <v>72</v>
      </c>
      <c r="H394" s="280">
        <v>80</v>
      </c>
      <c r="I394" s="280">
        <v>85</v>
      </c>
      <c r="J394" s="280">
        <v>85</v>
      </c>
      <c r="K394" s="291">
        <v>85</v>
      </c>
    </row>
    <row r="395" spans="1:11" ht="25.5" x14ac:dyDescent="0.25">
      <c r="A395" s="1230" t="s">
        <v>1672</v>
      </c>
      <c r="B395" s="1231" t="s">
        <v>1673</v>
      </c>
      <c r="C395" s="1531"/>
      <c r="D395" s="1532"/>
      <c r="E395" s="1532"/>
      <c r="F395" s="1532"/>
      <c r="G395" s="1532"/>
      <c r="H395" s="1532"/>
      <c r="I395" s="1532"/>
      <c r="J395" s="1532"/>
      <c r="K395" s="1533"/>
    </row>
    <row r="396" spans="1:11" ht="38.25" x14ac:dyDescent="0.25">
      <c r="A396" s="1232"/>
      <c r="B396" s="1081" t="s">
        <v>1674</v>
      </c>
      <c r="C396" s="280" t="s">
        <v>1031</v>
      </c>
      <c r="D396" s="280" t="s">
        <v>1271</v>
      </c>
      <c r="E396" s="1181" t="s">
        <v>1675</v>
      </c>
      <c r="F396" s="1181" t="s">
        <v>1676</v>
      </c>
      <c r="G396" s="1181" t="s">
        <v>1677</v>
      </c>
      <c r="H396" s="1181" t="s">
        <v>1678</v>
      </c>
      <c r="I396" s="1181" t="s">
        <v>1679</v>
      </c>
      <c r="J396" s="1181">
        <v>100</v>
      </c>
      <c r="K396" s="1181">
        <v>100</v>
      </c>
    </row>
    <row r="397" spans="1:11" ht="51" x14ac:dyDescent="0.25">
      <c r="A397" s="1232"/>
      <c r="B397" s="1081" t="s">
        <v>1037</v>
      </c>
      <c r="C397" s="280" t="s">
        <v>1031</v>
      </c>
      <c r="D397" s="280" t="s">
        <v>1271</v>
      </c>
      <c r="E397" s="1181" t="s">
        <v>1680</v>
      </c>
      <c r="F397" s="1181" t="s">
        <v>1680</v>
      </c>
      <c r="G397" s="1181" t="s">
        <v>1681</v>
      </c>
      <c r="H397" s="1181" t="s">
        <v>1682</v>
      </c>
      <c r="I397" s="1181" t="s">
        <v>1683</v>
      </c>
      <c r="J397" s="1181">
        <v>100</v>
      </c>
      <c r="K397" s="1181">
        <v>100</v>
      </c>
    </row>
    <row r="398" spans="1:11" ht="51" x14ac:dyDescent="0.25">
      <c r="A398" s="1232"/>
      <c r="B398" s="1081" t="s">
        <v>1684</v>
      </c>
      <c r="C398" s="280" t="s">
        <v>1031</v>
      </c>
      <c r="D398" s="280" t="s">
        <v>1271</v>
      </c>
      <c r="E398" s="1181">
        <v>75</v>
      </c>
      <c r="F398" s="1181">
        <v>75</v>
      </c>
      <c r="G398" s="1181">
        <v>80</v>
      </c>
      <c r="H398" s="1181">
        <v>85</v>
      </c>
      <c r="I398" s="1181">
        <v>90</v>
      </c>
      <c r="J398" s="1181">
        <v>100</v>
      </c>
      <c r="K398" s="1181">
        <v>100</v>
      </c>
    </row>
    <row r="399" spans="1:11" ht="51" x14ac:dyDescent="0.25">
      <c r="A399" s="1232"/>
      <c r="B399" s="1081" t="s">
        <v>1685</v>
      </c>
      <c r="C399" s="280" t="s">
        <v>1031</v>
      </c>
      <c r="D399" s="272" t="s">
        <v>1686</v>
      </c>
      <c r="E399" s="272">
        <v>2413</v>
      </c>
      <c r="F399" s="272">
        <v>2413</v>
      </c>
      <c r="G399" s="272">
        <v>2574</v>
      </c>
      <c r="H399" s="272">
        <v>2735</v>
      </c>
      <c r="I399" s="272">
        <v>2896</v>
      </c>
      <c r="J399" s="272">
        <v>3218</v>
      </c>
      <c r="K399" s="1117">
        <v>3218</v>
      </c>
    </row>
    <row r="400" spans="1:11" ht="38.25" x14ac:dyDescent="0.25">
      <c r="A400" s="1232"/>
      <c r="B400" s="1081" t="s">
        <v>1039</v>
      </c>
      <c r="C400" s="280" t="s">
        <v>1031</v>
      </c>
      <c r="D400" s="280" t="s">
        <v>1271</v>
      </c>
      <c r="E400" s="1181">
        <v>49</v>
      </c>
      <c r="F400" s="1181">
        <v>49</v>
      </c>
      <c r="G400" s="1181">
        <v>58</v>
      </c>
      <c r="H400" s="1181">
        <v>64</v>
      </c>
      <c r="I400" s="1181">
        <v>60</v>
      </c>
      <c r="J400" s="1181">
        <v>56</v>
      </c>
      <c r="K400" s="1181">
        <v>56</v>
      </c>
    </row>
    <row r="401" spans="1:11" ht="30.75" customHeight="1" x14ac:dyDescent="0.25">
      <c r="A401" s="1233" t="s">
        <v>1792</v>
      </c>
      <c r="B401" s="1231" t="s">
        <v>1687</v>
      </c>
      <c r="C401" s="1531"/>
      <c r="D401" s="1532"/>
      <c r="E401" s="1532"/>
      <c r="F401" s="1532"/>
      <c r="G401" s="1532"/>
      <c r="H401" s="1532"/>
      <c r="I401" s="1532"/>
      <c r="J401" s="1532"/>
      <c r="K401" s="1533"/>
    </row>
    <row r="402" spans="1:11" ht="30" customHeight="1" x14ac:dyDescent="0.25">
      <c r="A402" s="1230"/>
      <c r="B402" s="1081" t="s">
        <v>1688</v>
      </c>
      <c r="C402" s="280" t="s">
        <v>1031</v>
      </c>
      <c r="D402" s="280" t="s">
        <v>1271</v>
      </c>
      <c r="E402" s="1234" t="s">
        <v>1689</v>
      </c>
      <c r="F402" s="1234" t="s">
        <v>1690</v>
      </c>
      <c r="G402" s="1234" t="s">
        <v>1691</v>
      </c>
      <c r="H402" s="1234" t="s">
        <v>1692</v>
      </c>
      <c r="I402" s="1234" t="s">
        <v>1693</v>
      </c>
      <c r="J402" s="1234" t="s">
        <v>1694</v>
      </c>
      <c r="K402" s="1234" t="s">
        <v>1694</v>
      </c>
    </row>
    <row r="403" spans="1:11" ht="30" customHeight="1" x14ac:dyDescent="0.25">
      <c r="A403" s="1232"/>
      <c r="B403" s="1081" t="s">
        <v>1695</v>
      </c>
      <c r="C403" s="280" t="s">
        <v>1031</v>
      </c>
      <c r="D403" s="280" t="s">
        <v>1271</v>
      </c>
      <c r="E403" s="1234" t="s">
        <v>1696</v>
      </c>
      <c r="F403" s="1234" t="s">
        <v>1697</v>
      </c>
      <c r="G403" s="1234" t="s">
        <v>1698</v>
      </c>
      <c r="H403" s="1234" t="s">
        <v>1699</v>
      </c>
      <c r="I403" s="1234" t="s">
        <v>1700</v>
      </c>
      <c r="J403" s="1234" t="s">
        <v>1701</v>
      </c>
      <c r="K403" s="1234" t="s">
        <v>1701</v>
      </c>
    </row>
    <row r="404" spans="1:11" ht="30.75" customHeight="1" x14ac:dyDescent="0.25">
      <c r="A404" s="1232"/>
      <c r="B404" s="1081" t="s">
        <v>1702</v>
      </c>
      <c r="C404" s="280" t="s">
        <v>1031</v>
      </c>
      <c r="D404" s="280" t="s">
        <v>1271</v>
      </c>
      <c r="E404" s="1181">
        <v>100</v>
      </c>
      <c r="F404" s="1181">
        <v>100</v>
      </c>
      <c r="G404" s="1181">
        <v>100</v>
      </c>
      <c r="H404" s="1181">
        <v>100</v>
      </c>
      <c r="I404" s="1181">
        <v>100</v>
      </c>
      <c r="J404" s="1181">
        <v>100</v>
      </c>
      <c r="K404" s="1181">
        <v>100</v>
      </c>
    </row>
    <row r="405" spans="1:11" ht="30" customHeight="1" x14ac:dyDescent="0.25">
      <c r="A405" s="1232"/>
      <c r="B405" s="1081" t="s">
        <v>1703</v>
      </c>
      <c r="C405" s="280" t="s">
        <v>1031</v>
      </c>
      <c r="D405" s="280" t="s">
        <v>1271</v>
      </c>
      <c r="E405" s="1181">
        <v>100</v>
      </c>
      <c r="F405" s="1181">
        <v>100</v>
      </c>
      <c r="G405" s="1181">
        <v>100</v>
      </c>
      <c r="H405" s="1181">
        <v>100</v>
      </c>
      <c r="I405" s="1181">
        <v>100</v>
      </c>
      <c r="J405" s="1181">
        <v>100</v>
      </c>
      <c r="K405" s="1181">
        <v>100</v>
      </c>
    </row>
    <row r="406" spans="1:11" ht="42" customHeight="1" x14ac:dyDescent="0.25">
      <c r="A406" s="1232"/>
      <c r="B406" s="1081" t="s">
        <v>1036</v>
      </c>
      <c r="C406" s="280" t="s">
        <v>1031</v>
      </c>
      <c r="D406" s="280" t="s">
        <v>1271</v>
      </c>
      <c r="E406" s="1181">
        <v>83</v>
      </c>
      <c r="F406" s="1181">
        <v>83</v>
      </c>
      <c r="G406" s="1181">
        <v>83</v>
      </c>
      <c r="H406" s="1181">
        <v>83</v>
      </c>
      <c r="I406" s="1181">
        <v>83</v>
      </c>
      <c r="J406" s="1181">
        <v>83</v>
      </c>
      <c r="K406" s="1181">
        <v>83</v>
      </c>
    </row>
    <row r="407" spans="1:11" ht="42.75" customHeight="1" x14ac:dyDescent="0.25">
      <c r="A407" s="1232"/>
      <c r="B407" s="1081" t="s">
        <v>1704</v>
      </c>
      <c r="C407" s="280" t="s">
        <v>1031</v>
      </c>
      <c r="D407" s="280" t="s">
        <v>1271</v>
      </c>
      <c r="E407" s="1181">
        <v>100</v>
      </c>
      <c r="F407" s="1181">
        <v>100</v>
      </c>
      <c r="G407" s="1181">
        <v>100</v>
      </c>
      <c r="H407" s="1181">
        <v>100</v>
      </c>
      <c r="I407" s="1181">
        <v>100</v>
      </c>
      <c r="J407" s="1181">
        <v>100</v>
      </c>
      <c r="K407" s="1181">
        <v>100</v>
      </c>
    </row>
    <row r="408" spans="1:11" ht="20.25" customHeight="1" x14ac:dyDescent="0.25">
      <c r="A408" s="1230" t="s">
        <v>1705</v>
      </c>
      <c r="B408" s="1231" t="s">
        <v>1706</v>
      </c>
      <c r="C408" s="1531"/>
      <c r="D408" s="1532"/>
      <c r="E408" s="1532"/>
      <c r="F408" s="1532"/>
      <c r="G408" s="1532"/>
      <c r="H408" s="1532"/>
      <c r="I408" s="1532"/>
      <c r="J408" s="1532"/>
      <c r="K408" s="1533"/>
    </row>
    <row r="409" spans="1:11" ht="45" customHeight="1" x14ac:dyDescent="0.25">
      <c r="A409" s="272"/>
      <c r="B409" s="1081" t="s">
        <v>1043</v>
      </c>
      <c r="C409" s="280" t="s">
        <v>1031</v>
      </c>
      <c r="D409" s="272" t="s">
        <v>1707</v>
      </c>
      <c r="E409" s="272">
        <v>997</v>
      </c>
      <c r="F409" s="272">
        <v>331</v>
      </c>
      <c r="G409" s="272">
        <v>665</v>
      </c>
      <c r="H409" s="272">
        <v>510</v>
      </c>
      <c r="I409" s="272">
        <v>400</v>
      </c>
      <c r="J409" s="272">
        <v>400</v>
      </c>
      <c r="K409" s="272">
        <v>400</v>
      </c>
    </row>
    <row r="410" spans="1:11" ht="33" customHeight="1" x14ac:dyDescent="0.25">
      <c r="A410" s="272"/>
      <c r="B410" s="1081" t="s">
        <v>1708</v>
      </c>
      <c r="C410" s="280" t="s">
        <v>1031</v>
      </c>
      <c r="D410" s="272" t="s">
        <v>1709</v>
      </c>
      <c r="E410" s="272">
        <v>278</v>
      </c>
      <c r="F410" s="272">
        <v>63</v>
      </c>
      <c r="G410" s="272">
        <v>62</v>
      </c>
      <c r="H410" s="272">
        <v>62</v>
      </c>
      <c r="I410" s="272">
        <v>62</v>
      </c>
      <c r="J410" s="272">
        <v>62</v>
      </c>
      <c r="K410" s="272">
        <v>62</v>
      </c>
    </row>
    <row r="411" spans="1:11" ht="30" customHeight="1" x14ac:dyDescent="0.25">
      <c r="A411" s="272"/>
      <c r="B411" s="1081" t="s">
        <v>1710</v>
      </c>
      <c r="C411" s="280" t="s">
        <v>1031</v>
      </c>
      <c r="D411" s="272" t="s">
        <v>1709</v>
      </c>
      <c r="E411" s="272">
        <v>2</v>
      </c>
      <c r="F411" s="272">
        <v>63</v>
      </c>
      <c r="G411" s="272">
        <v>62</v>
      </c>
      <c r="H411" s="272">
        <v>62</v>
      </c>
      <c r="I411" s="272">
        <v>62</v>
      </c>
      <c r="J411" s="272">
        <v>62</v>
      </c>
      <c r="K411" s="272">
        <v>62</v>
      </c>
    </row>
    <row r="412" spans="1:11" ht="34.5" customHeight="1" x14ac:dyDescent="0.25">
      <c r="A412" s="272"/>
      <c r="B412" s="1081" t="s">
        <v>1041</v>
      </c>
      <c r="C412" s="280" t="s">
        <v>1031</v>
      </c>
      <c r="D412" s="272" t="s">
        <v>1709</v>
      </c>
      <c r="E412" s="272">
        <v>11</v>
      </c>
      <c r="F412" s="272">
        <v>55</v>
      </c>
      <c r="G412" s="272">
        <v>50</v>
      </c>
      <c r="H412" s="272">
        <v>54</v>
      </c>
      <c r="I412" s="272">
        <v>54</v>
      </c>
      <c r="J412" s="272">
        <v>55</v>
      </c>
      <c r="K412" s="272">
        <v>55</v>
      </c>
    </row>
    <row r="413" spans="1:11" ht="31.5" customHeight="1" x14ac:dyDescent="0.25">
      <c r="A413" s="272"/>
      <c r="B413" s="1081" t="s">
        <v>1711</v>
      </c>
      <c r="C413" s="280" t="s">
        <v>1031</v>
      </c>
      <c r="D413" s="272" t="s">
        <v>1709</v>
      </c>
      <c r="E413" s="272">
        <v>176</v>
      </c>
      <c r="F413" s="272">
        <v>12</v>
      </c>
      <c r="G413" s="272">
        <v>30</v>
      </c>
      <c r="H413" s="272">
        <v>30</v>
      </c>
      <c r="I413" s="272">
        <v>30</v>
      </c>
      <c r="J413" s="272">
        <v>30</v>
      </c>
      <c r="K413" s="272">
        <v>30</v>
      </c>
    </row>
    <row r="414" spans="1:11" ht="34.5" customHeight="1" x14ac:dyDescent="0.25">
      <c r="A414" s="123"/>
      <c r="B414" s="1235" t="s">
        <v>1712</v>
      </c>
      <c r="C414" s="1236" t="s">
        <v>1048</v>
      </c>
      <c r="D414" s="280" t="s">
        <v>1271</v>
      </c>
      <c r="E414" s="273">
        <v>10</v>
      </c>
      <c r="F414" s="1124" t="s">
        <v>217</v>
      </c>
      <c r="G414" s="1124" t="s">
        <v>217</v>
      </c>
      <c r="H414" s="1124" t="s">
        <v>217</v>
      </c>
      <c r="I414" s="1124" t="s">
        <v>217</v>
      </c>
      <c r="J414" s="273">
        <v>15</v>
      </c>
      <c r="K414" s="273">
        <v>15</v>
      </c>
    </row>
    <row r="415" spans="1:11" ht="32.25" customHeight="1" x14ac:dyDescent="0.25">
      <c r="A415" s="123"/>
      <c r="B415" s="1237" t="s">
        <v>1713</v>
      </c>
      <c r="C415" s="1236" t="s">
        <v>1048</v>
      </c>
      <c r="D415" s="280" t="s">
        <v>1271</v>
      </c>
      <c r="E415" s="273">
        <v>21</v>
      </c>
      <c r="F415" s="1124" t="s">
        <v>217</v>
      </c>
      <c r="G415" s="1124" t="s">
        <v>217</v>
      </c>
      <c r="H415" s="1124" t="s">
        <v>217</v>
      </c>
      <c r="I415" s="1124" t="s">
        <v>217</v>
      </c>
      <c r="J415" s="273">
        <v>25</v>
      </c>
      <c r="K415" s="1109">
        <v>25</v>
      </c>
    </row>
    <row r="416" spans="1:11" ht="33.75" customHeight="1" x14ac:dyDescent="0.25">
      <c r="A416" s="123"/>
      <c r="B416" s="1238" t="s">
        <v>1050</v>
      </c>
      <c r="C416" s="1236" t="s">
        <v>1048</v>
      </c>
      <c r="D416" s="1239" t="s">
        <v>1714</v>
      </c>
      <c r="E416" s="25">
        <v>22</v>
      </c>
      <c r="F416" s="25">
        <v>22</v>
      </c>
      <c r="G416" s="25">
        <v>22</v>
      </c>
      <c r="H416" s="25">
        <v>22</v>
      </c>
      <c r="I416" s="25">
        <v>22</v>
      </c>
      <c r="J416" s="25">
        <v>22</v>
      </c>
      <c r="K416" s="25">
        <v>22</v>
      </c>
    </row>
    <row r="417" spans="1:11" ht="57" customHeight="1" x14ac:dyDescent="0.25">
      <c r="A417" s="123"/>
      <c r="B417" s="1235" t="s">
        <v>1715</v>
      </c>
      <c r="C417" s="1236" t="s">
        <v>1048</v>
      </c>
      <c r="D417" s="280" t="s">
        <v>1271</v>
      </c>
      <c r="E417" s="273">
        <v>33</v>
      </c>
      <c r="F417" s="273">
        <v>60</v>
      </c>
      <c r="G417" s="273">
        <v>60</v>
      </c>
      <c r="H417" s="273">
        <v>70</v>
      </c>
      <c r="I417" s="273">
        <v>80</v>
      </c>
      <c r="J417" s="273">
        <v>90</v>
      </c>
      <c r="K417" s="273">
        <v>90</v>
      </c>
    </row>
    <row r="418" spans="1:11" ht="33.75" customHeight="1" x14ac:dyDescent="0.25">
      <c r="A418" s="123"/>
      <c r="B418" s="1235" t="s">
        <v>1716</v>
      </c>
      <c r="C418" s="1236" t="s">
        <v>1048</v>
      </c>
      <c r="D418" s="1240" t="s">
        <v>1295</v>
      </c>
      <c r="E418" s="1177" t="s">
        <v>1717</v>
      </c>
      <c r="F418" s="1177" t="s">
        <v>1717</v>
      </c>
      <c r="G418" s="1178">
        <v>60</v>
      </c>
      <c r="H418" s="1178">
        <v>60</v>
      </c>
      <c r="I418" s="273">
        <v>70</v>
      </c>
      <c r="J418" s="273">
        <v>70</v>
      </c>
      <c r="K418" s="123">
        <v>260</v>
      </c>
    </row>
    <row r="419" spans="1:11" ht="31.5" customHeight="1" x14ac:dyDescent="0.25">
      <c r="A419" s="123"/>
      <c r="B419" s="1235" t="s">
        <v>1056</v>
      </c>
      <c r="C419" s="1236" t="s">
        <v>1048</v>
      </c>
      <c r="D419" s="280" t="s">
        <v>1271</v>
      </c>
      <c r="E419" s="37" t="s">
        <v>217</v>
      </c>
      <c r="F419" s="37" t="s">
        <v>217</v>
      </c>
      <c r="G419" s="1178">
        <v>80</v>
      </c>
      <c r="H419" s="1178">
        <v>85</v>
      </c>
      <c r="I419" s="1178">
        <v>90</v>
      </c>
      <c r="J419" s="1178">
        <v>95</v>
      </c>
      <c r="K419" s="1178">
        <v>95</v>
      </c>
    </row>
    <row r="420" spans="1:11" ht="45" customHeight="1" x14ac:dyDescent="0.25">
      <c r="A420" s="123"/>
      <c r="B420" s="1235" t="s">
        <v>1718</v>
      </c>
      <c r="C420" s="1236" t="s">
        <v>1048</v>
      </c>
      <c r="D420" s="280" t="s">
        <v>1271</v>
      </c>
      <c r="E420" s="37" t="s">
        <v>217</v>
      </c>
      <c r="F420" s="37" t="s">
        <v>217</v>
      </c>
      <c r="G420" s="1178">
        <v>80</v>
      </c>
      <c r="H420" s="1178">
        <v>85</v>
      </c>
      <c r="I420" s="273">
        <v>90</v>
      </c>
      <c r="J420" s="273">
        <v>95</v>
      </c>
      <c r="K420" s="1178">
        <v>100</v>
      </c>
    </row>
    <row r="421" spans="1:11" ht="31.5" customHeight="1" x14ac:dyDescent="0.25">
      <c r="A421" s="123"/>
      <c r="B421" s="1235" t="s">
        <v>1058</v>
      </c>
      <c r="C421" s="1236" t="s">
        <v>1048</v>
      </c>
      <c r="D421" s="1236" t="s">
        <v>1719</v>
      </c>
      <c r="E421" s="37" t="s">
        <v>217</v>
      </c>
      <c r="F421" s="37" t="s">
        <v>217</v>
      </c>
      <c r="G421" s="273">
        <v>1</v>
      </c>
      <c r="H421" s="273">
        <v>1</v>
      </c>
      <c r="I421" s="1241">
        <v>2</v>
      </c>
      <c r="J421" s="1241">
        <v>2</v>
      </c>
      <c r="K421" s="280">
        <v>6</v>
      </c>
    </row>
    <row r="422" spans="1:11" ht="24.75" customHeight="1" x14ac:dyDescent="0.25">
      <c r="A422" s="1101" t="s">
        <v>1060</v>
      </c>
      <c r="B422" s="1539" t="s">
        <v>1720</v>
      </c>
      <c r="C422" s="1540"/>
      <c r="D422" s="1540"/>
      <c r="E422" s="1540"/>
      <c r="F422" s="1540"/>
      <c r="G422" s="1540"/>
      <c r="H422" s="1540"/>
      <c r="I422" s="1540"/>
      <c r="J422" s="1540"/>
      <c r="K422" s="1541"/>
    </row>
    <row r="423" spans="1:11" ht="38.25" x14ac:dyDescent="0.25">
      <c r="A423" s="123"/>
      <c r="B423" s="1085" t="s">
        <v>1064</v>
      </c>
      <c r="C423" s="280" t="s">
        <v>1646</v>
      </c>
      <c r="D423" s="280" t="s">
        <v>1271</v>
      </c>
      <c r="E423" s="1181">
        <v>80</v>
      </c>
      <c r="F423" s="1181">
        <v>80</v>
      </c>
      <c r="G423" s="1181">
        <v>85</v>
      </c>
      <c r="H423" s="1181">
        <v>85</v>
      </c>
      <c r="I423" s="1181">
        <v>90</v>
      </c>
      <c r="J423" s="1181">
        <v>90</v>
      </c>
      <c r="K423" s="1181">
        <v>90</v>
      </c>
    </row>
    <row r="424" spans="1:11" ht="25.5" x14ac:dyDescent="0.25">
      <c r="A424" s="123"/>
      <c r="B424" s="1085" t="s">
        <v>1065</v>
      </c>
      <c r="C424" s="280" t="s">
        <v>1646</v>
      </c>
      <c r="D424" s="153" t="s">
        <v>1721</v>
      </c>
      <c r="E424" s="1242">
        <v>53</v>
      </c>
      <c r="F424" s="1242">
        <v>55</v>
      </c>
      <c r="G424" s="1242">
        <v>60</v>
      </c>
      <c r="H424" s="1242">
        <v>65</v>
      </c>
      <c r="I424" s="1242">
        <v>70</v>
      </c>
      <c r="J424" s="1242">
        <v>75</v>
      </c>
      <c r="K424" s="1242">
        <v>75</v>
      </c>
    </row>
    <row r="425" spans="1:11" ht="25.5" x14ac:dyDescent="0.25">
      <c r="A425" s="123"/>
      <c r="B425" s="1085" t="s">
        <v>1068</v>
      </c>
      <c r="C425" s="280" t="s">
        <v>1646</v>
      </c>
      <c r="D425" s="280" t="s">
        <v>1271</v>
      </c>
      <c r="E425" s="1181">
        <v>70</v>
      </c>
      <c r="F425" s="1181">
        <v>80</v>
      </c>
      <c r="G425" s="1181">
        <v>85</v>
      </c>
      <c r="H425" s="1181">
        <v>90</v>
      </c>
      <c r="I425" s="1181">
        <v>90</v>
      </c>
      <c r="J425" s="1181">
        <v>95</v>
      </c>
      <c r="K425" s="1181">
        <v>95</v>
      </c>
    </row>
    <row r="426" spans="1:11" ht="25.5" x14ac:dyDescent="0.25">
      <c r="A426" s="123"/>
      <c r="B426" s="1085" t="s">
        <v>1069</v>
      </c>
      <c r="C426" s="280" t="s">
        <v>1646</v>
      </c>
      <c r="D426" s="1181" t="s">
        <v>1271</v>
      </c>
      <c r="E426" s="1181">
        <v>90</v>
      </c>
      <c r="F426" s="1181">
        <v>90</v>
      </c>
      <c r="G426" s="1181">
        <v>90</v>
      </c>
      <c r="H426" s="1181">
        <v>90</v>
      </c>
      <c r="I426" s="1181">
        <v>95</v>
      </c>
      <c r="J426" s="1181">
        <v>95</v>
      </c>
      <c r="K426" s="1181">
        <v>95</v>
      </c>
    </row>
    <row r="427" spans="1:11" ht="25.5" x14ac:dyDescent="0.25">
      <c r="A427" s="123"/>
      <c r="B427" s="1085" t="s">
        <v>1070</v>
      </c>
      <c r="C427" s="280" t="s">
        <v>1646</v>
      </c>
      <c r="D427" s="1181" t="s">
        <v>1722</v>
      </c>
      <c r="E427" s="1181" t="s">
        <v>1071</v>
      </c>
      <c r="F427" s="1181" t="s">
        <v>1072</v>
      </c>
      <c r="G427" s="1181" t="s">
        <v>1072</v>
      </c>
      <c r="H427" s="1181" t="s">
        <v>1072</v>
      </c>
      <c r="I427" s="1181" t="s">
        <v>1072</v>
      </c>
      <c r="J427" s="1181" t="s">
        <v>1072</v>
      </c>
      <c r="K427" s="1181" t="s">
        <v>1072</v>
      </c>
    </row>
    <row r="428" spans="1:11" ht="25.5" x14ac:dyDescent="0.25">
      <c r="A428" s="123"/>
      <c r="B428" s="1085" t="s">
        <v>1074</v>
      </c>
      <c r="C428" s="280" t="s">
        <v>1646</v>
      </c>
      <c r="D428" s="1181" t="s">
        <v>1075</v>
      </c>
      <c r="E428" s="1181" t="s">
        <v>1075</v>
      </c>
      <c r="F428" s="1181" t="s">
        <v>1075</v>
      </c>
      <c r="G428" s="1181" t="s">
        <v>1075</v>
      </c>
      <c r="H428" s="1181" t="s">
        <v>1075</v>
      </c>
      <c r="I428" s="1181" t="s">
        <v>1075</v>
      </c>
      <c r="J428" s="1181" t="s">
        <v>1075</v>
      </c>
      <c r="K428" s="1181" t="s">
        <v>1075</v>
      </c>
    </row>
    <row r="429" spans="1:11" ht="25.5" x14ac:dyDescent="0.25">
      <c r="A429" s="123"/>
      <c r="B429" s="1085" t="s">
        <v>1078</v>
      </c>
      <c r="C429" s="280" t="s">
        <v>1646</v>
      </c>
      <c r="D429" s="1181" t="s">
        <v>1723</v>
      </c>
      <c r="E429" s="1243">
        <v>24230517887.400002</v>
      </c>
      <c r="F429" s="1243">
        <v>20000000000</v>
      </c>
      <c r="G429" s="1243">
        <v>21000000000</v>
      </c>
      <c r="H429" s="1243">
        <v>22000000000</v>
      </c>
      <c r="I429" s="1243">
        <v>23000000000</v>
      </c>
      <c r="J429" s="1243">
        <v>24000000000</v>
      </c>
      <c r="K429" s="1243">
        <v>24000000000</v>
      </c>
    </row>
    <row r="430" spans="1:11" ht="25.5" x14ac:dyDescent="0.25">
      <c r="A430" s="123"/>
      <c r="B430" s="1085" t="s">
        <v>1082</v>
      </c>
      <c r="C430" s="280" t="s">
        <v>1646</v>
      </c>
      <c r="D430" s="1181" t="s">
        <v>1271</v>
      </c>
      <c r="E430" s="1181">
        <v>80</v>
      </c>
      <c r="F430" s="1181">
        <v>80</v>
      </c>
      <c r="G430" s="1181">
        <v>80</v>
      </c>
      <c r="H430" s="1181">
        <v>85</v>
      </c>
      <c r="I430" s="1181">
        <v>85</v>
      </c>
      <c r="J430" s="1181">
        <v>90</v>
      </c>
      <c r="K430" s="1181">
        <v>90</v>
      </c>
    </row>
    <row r="431" spans="1:11" ht="25.5" x14ac:dyDescent="0.25">
      <c r="A431" s="123"/>
      <c r="B431" s="207" t="s">
        <v>1084</v>
      </c>
      <c r="C431" s="280" t="s">
        <v>1646</v>
      </c>
      <c r="D431" s="1181" t="s">
        <v>1724</v>
      </c>
      <c r="E431" s="1181" t="s">
        <v>1085</v>
      </c>
      <c r="F431" s="1181" t="s">
        <v>1086</v>
      </c>
      <c r="G431" s="1181" t="s">
        <v>1086</v>
      </c>
      <c r="H431" s="1181" t="s">
        <v>1086</v>
      </c>
      <c r="I431" s="1181" t="s">
        <v>1086</v>
      </c>
      <c r="J431" s="1181" t="s">
        <v>1086</v>
      </c>
      <c r="K431" s="1181" t="s">
        <v>1086</v>
      </c>
    </row>
    <row r="432" spans="1:11" x14ac:dyDescent="0.25">
      <c r="A432" s="123"/>
      <c r="B432" s="1085" t="s">
        <v>1087</v>
      </c>
      <c r="C432" s="280" t="s">
        <v>1646</v>
      </c>
      <c r="D432" s="1181" t="s">
        <v>1086</v>
      </c>
      <c r="E432" s="1181" t="s">
        <v>1086</v>
      </c>
      <c r="F432" s="1181" t="s">
        <v>1086</v>
      </c>
      <c r="G432" s="1181" t="s">
        <v>1086</v>
      </c>
      <c r="H432" s="1181" t="s">
        <v>1086</v>
      </c>
      <c r="I432" s="1181" t="s">
        <v>1086</v>
      </c>
      <c r="J432" s="1181" t="s">
        <v>1086</v>
      </c>
      <c r="K432" s="1181" t="s">
        <v>1086</v>
      </c>
    </row>
    <row r="433" spans="1:11" x14ac:dyDescent="0.25">
      <c r="A433" s="1101" t="s">
        <v>1088</v>
      </c>
      <c r="B433" s="1539" t="s">
        <v>1725</v>
      </c>
      <c r="C433" s="1540"/>
      <c r="D433" s="1540"/>
      <c r="E433" s="1540"/>
      <c r="F433" s="1540"/>
      <c r="G433" s="1540"/>
      <c r="H433" s="1540"/>
      <c r="I433" s="1540"/>
      <c r="J433" s="1540"/>
      <c r="K433" s="1541"/>
    </row>
    <row r="434" spans="1:11" ht="38.25" x14ac:dyDescent="0.25">
      <c r="A434" s="1204"/>
      <c r="B434" s="296" t="s">
        <v>1092</v>
      </c>
      <c r="C434" s="153" t="s">
        <v>1726</v>
      </c>
      <c r="D434" s="297" t="s">
        <v>1727</v>
      </c>
      <c r="E434" s="1209" t="s">
        <v>1728</v>
      </c>
      <c r="F434" s="1209" t="s">
        <v>1728</v>
      </c>
      <c r="G434" s="1209" t="s">
        <v>1729</v>
      </c>
      <c r="H434" s="1209" t="s">
        <v>1730</v>
      </c>
      <c r="I434" s="1209" t="s">
        <v>1731</v>
      </c>
      <c r="J434" s="1209" t="s">
        <v>1732</v>
      </c>
      <c r="K434" s="1209" t="s">
        <v>1733</v>
      </c>
    </row>
    <row r="435" spans="1:11" ht="25.5" x14ac:dyDescent="0.25">
      <c r="A435" s="1204"/>
      <c r="B435" s="1085" t="s">
        <v>1098</v>
      </c>
      <c r="C435" s="153" t="s">
        <v>1726</v>
      </c>
      <c r="D435" s="280" t="s">
        <v>1271</v>
      </c>
      <c r="E435" s="1209" t="s">
        <v>1734</v>
      </c>
      <c r="F435" s="1209" t="s">
        <v>1734</v>
      </c>
      <c r="G435" s="1209" t="s">
        <v>1735</v>
      </c>
      <c r="H435" s="1209" t="s">
        <v>1736</v>
      </c>
      <c r="I435" s="1209" t="s">
        <v>1737</v>
      </c>
      <c r="J435" s="1209" t="s">
        <v>1738</v>
      </c>
      <c r="K435" s="1209" t="s">
        <v>1739</v>
      </c>
    </row>
    <row r="436" spans="1:11" ht="25.5" x14ac:dyDescent="0.25">
      <c r="A436" s="1204"/>
      <c r="B436" s="1085" t="s">
        <v>1101</v>
      </c>
      <c r="C436" s="153" t="s">
        <v>1726</v>
      </c>
      <c r="D436" s="280" t="s">
        <v>1271</v>
      </c>
      <c r="E436" s="1209" t="s">
        <v>1740</v>
      </c>
      <c r="F436" s="1209" t="s">
        <v>1740</v>
      </c>
      <c r="G436" s="1209" t="s">
        <v>1741</v>
      </c>
      <c r="H436" s="1209" t="s">
        <v>1742</v>
      </c>
      <c r="I436" s="1209" t="s">
        <v>1743</v>
      </c>
      <c r="J436" s="1209" t="s">
        <v>1744</v>
      </c>
      <c r="K436" s="1209" t="s">
        <v>1745</v>
      </c>
    </row>
    <row r="437" spans="1:11" ht="25.5" x14ac:dyDescent="0.25">
      <c r="A437" s="1204"/>
      <c r="B437" s="1085" t="s">
        <v>1104</v>
      </c>
      <c r="C437" s="153" t="s">
        <v>1726</v>
      </c>
      <c r="D437" s="280" t="s">
        <v>1746</v>
      </c>
      <c r="E437" s="1209" t="s">
        <v>1233</v>
      </c>
      <c r="F437" s="1209" t="s">
        <v>1233</v>
      </c>
      <c r="G437" s="1209" t="s">
        <v>1747</v>
      </c>
      <c r="H437" s="1209" t="s">
        <v>1748</v>
      </c>
      <c r="I437" s="1209" t="s">
        <v>1729</v>
      </c>
      <c r="J437" s="1209" t="s">
        <v>1749</v>
      </c>
      <c r="K437" s="1209" t="s">
        <v>1733</v>
      </c>
    </row>
    <row r="438" spans="1:11" ht="38.25" x14ac:dyDescent="0.25">
      <c r="A438" s="1204"/>
      <c r="B438" s="1085" t="s">
        <v>1107</v>
      </c>
      <c r="C438" s="153" t="s">
        <v>1726</v>
      </c>
      <c r="D438" s="280" t="s">
        <v>1750</v>
      </c>
      <c r="E438" s="1204" t="s">
        <v>1751</v>
      </c>
      <c r="F438" s="1204" t="s">
        <v>1751</v>
      </c>
      <c r="G438" s="1204" t="s">
        <v>1751</v>
      </c>
      <c r="H438" s="1204" t="s">
        <v>1751</v>
      </c>
      <c r="I438" s="1204" t="s">
        <v>1751</v>
      </c>
      <c r="J438" s="1204" t="s">
        <v>1751</v>
      </c>
      <c r="K438" s="1204" t="s">
        <v>1751</v>
      </c>
    </row>
    <row r="439" spans="1:11" ht="25.5" x14ac:dyDescent="0.25">
      <c r="A439" s="25"/>
      <c r="B439" s="1086" t="s">
        <v>1112</v>
      </c>
      <c r="C439" s="25" t="s">
        <v>1115</v>
      </c>
      <c r="D439" s="280" t="s">
        <v>1271</v>
      </c>
      <c r="E439" s="25" t="s">
        <v>1113</v>
      </c>
      <c r="F439" s="25" t="s">
        <v>1113</v>
      </c>
      <c r="G439" s="1181">
        <v>100</v>
      </c>
      <c r="H439" s="1181">
        <v>100</v>
      </c>
      <c r="I439" s="1181">
        <v>100</v>
      </c>
      <c r="J439" s="1181">
        <v>100</v>
      </c>
      <c r="K439" s="1181">
        <v>100</v>
      </c>
    </row>
    <row r="440" spans="1:11" ht="25.5" x14ac:dyDescent="0.25">
      <c r="A440" s="25"/>
      <c r="B440" s="1086" t="s">
        <v>1116</v>
      </c>
      <c r="C440" s="25" t="s">
        <v>1115</v>
      </c>
      <c r="D440" s="280" t="s">
        <v>1271</v>
      </c>
      <c r="E440" s="1181">
        <v>100</v>
      </c>
      <c r="F440" s="1181">
        <v>100</v>
      </c>
      <c r="G440" s="1181">
        <v>100</v>
      </c>
      <c r="H440" s="1181">
        <v>100</v>
      </c>
      <c r="I440" s="1181">
        <v>100</v>
      </c>
      <c r="J440" s="1181">
        <v>100</v>
      </c>
      <c r="K440" s="1181">
        <v>100</v>
      </c>
    </row>
    <row r="441" spans="1:11" ht="38.25" x14ac:dyDescent="0.25">
      <c r="A441" s="25"/>
      <c r="B441" s="1086" t="s">
        <v>1120</v>
      </c>
      <c r="C441" s="25" t="s">
        <v>1115</v>
      </c>
      <c r="D441" s="280" t="s">
        <v>1271</v>
      </c>
      <c r="E441" s="1181">
        <v>100</v>
      </c>
      <c r="F441" s="25" t="s">
        <v>1752</v>
      </c>
      <c r="G441" s="1181">
        <v>100</v>
      </c>
      <c r="H441" s="1181">
        <v>100</v>
      </c>
      <c r="I441" s="1181">
        <v>100</v>
      </c>
      <c r="J441" s="1181">
        <v>100</v>
      </c>
      <c r="K441" s="1181">
        <v>100</v>
      </c>
    </row>
    <row r="442" spans="1:11" ht="38.25" x14ac:dyDescent="0.25">
      <c r="A442" s="25"/>
      <c r="B442" s="1086" t="s">
        <v>1122</v>
      </c>
      <c r="C442" s="25" t="s">
        <v>1115</v>
      </c>
      <c r="D442" s="280" t="s">
        <v>1271</v>
      </c>
      <c r="E442" s="1181">
        <v>100</v>
      </c>
      <c r="F442" s="25" t="s">
        <v>1752</v>
      </c>
      <c r="G442" s="1181">
        <v>100</v>
      </c>
      <c r="H442" s="1181">
        <v>100</v>
      </c>
      <c r="I442" s="1181">
        <v>100</v>
      </c>
      <c r="J442" s="1181">
        <v>100</v>
      </c>
      <c r="K442" s="1181">
        <v>100</v>
      </c>
    </row>
    <row r="443" spans="1:11" ht="25.5" x14ac:dyDescent="0.25">
      <c r="A443" s="123"/>
      <c r="B443" s="23" t="s">
        <v>1124</v>
      </c>
      <c r="C443" s="25" t="s">
        <v>1126</v>
      </c>
      <c r="D443" s="280" t="s">
        <v>1271</v>
      </c>
      <c r="E443" s="1185">
        <v>25</v>
      </c>
      <c r="F443" s="1185">
        <v>27</v>
      </c>
      <c r="G443" s="1185">
        <v>31</v>
      </c>
      <c r="H443" s="1185">
        <v>36</v>
      </c>
      <c r="I443" s="1185">
        <v>40</v>
      </c>
      <c r="J443" s="1185">
        <v>43</v>
      </c>
      <c r="K443" s="1185">
        <v>43</v>
      </c>
    </row>
    <row r="444" spans="1:11" ht="51" x14ac:dyDescent="0.25">
      <c r="A444" s="123"/>
      <c r="B444" s="23" t="s">
        <v>1127</v>
      </c>
      <c r="C444" s="25" t="s">
        <v>1126</v>
      </c>
      <c r="D444" s="280" t="s">
        <v>1271</v>
      </c>
      <c r="E444" s="1185">
        <v>50</v>
      </c>
      <c r="F444" s="1185">
        <v>53</v>
      </c>
      <c r="G444" s="1185">
        <v>57</v>
      </c>
      <c r="H444" s="1185">
        <v>62</v>
      </c>
      <c r="I444" s="1185">
        <v>75</v>
      </c>
      <c r="J444" s="1185">
        <v>56</v>
      </c>
      <c r="K444" s="1185">
        <v>56</v>
      </c>
    </row>
    <row r="445" spans="1:11" ht="25.5" x14ac:dyDescent="0.25">
      <c r="A445" s="1534"/>
      <c r="B445" s="1085" t="s">
        <v>1753</v>
      </c>
      <c r="C445" s="1536"/>
      <c r="D445" s="1537"/>
      <c r="E445" s="1537"/>
      <c r="F445" s="1537"/>
      <c r="G445" s="1537"/>
      <c r="H445" s="1537"/>
      <c r="I445" s="1537"/>
      <c r="J445" s="1537"/>
      <c r="K445" s="1538"/>
    </row>
    <row r="446" spans="1:11" ht="76.5" x14ac:dyDescent="0.25">
      <c r="A446" s="1535"/>
      <c r="B446" s="231" t="s">
        <v>1130</v>
      </c>
      <c r="C446" s="25" t="s">
        <v>1126</v>
      </c>
      <c r="D446" s="25" t="s">
        <v>1754</v>
      </c>
      <c r="E446" s="123" t="s">
        <v>1131</v>
      </c>
      <c r="F446" s="1167" t="s">
        <v>217</v>
      </c>
      <c r="G446" s="25" t="s">
        <v>1755</v>
      </c>
      <c r="H446" s="25" t="s">
        <v>1132</v>
      </c>
      <c r="I446" s="25" t="s">
        <v>1132</v>
      </c>
      <c r="J446" s="25" t="s">
        <v>1132</v>
      </c>
      <c r="K446" s="25" t="s">
        <v>1132</v>
      </c>
    </row>
    <row r="447" spans="1:11" x14ac:dyDescent="0.25">
      <c r="A447" s="1244"/>
      <c r="B447" s="231" t="s">
        <v>1134</v>
      </c>
      <c r="C447" s="25" t="s">
        <v>1126</v>
      </c>
      <c r="D447" s="123" t="s">
        <v>1756</v>
      </c>
      <c r="E447" s="1167" t="s">
        <v>217</v>
      </c>
      <c r="F447" s="1167" t="s">
        <v>217</v>
      </c>
      <c r="G447" s="123">
        <v>1</v>
      </c>
      <c r="H447" s="123">
        <v>1</v>
      </c>
      <c r="I447" s="123">
        <v>1</v>
      </c>
      <c r="J447" s="123">
        <v>1</v>
      </c>
      <c r="K447" s="123">
        <v>1</v>
      </c>
    </row>
    <row r="448" spans="1:11" x14ac:dyDescent="0.25">
      <c r="A448" s="1244"/>
      <c r="B448" s="231" t="s">
        <v>1135</v>
      </c>
      <c r="C448" s="25" t="s">
        <v>1126</v>
      </c>
      <c r="D448" s="123" t="s">
        <v>1756</v>
      </c>
      <c r="E448" s="1167" t="s">
        <v>217</v>
      </c>
      <c r="F448" s="1167" t="s">
        <v>217</v>
      </c>
      <c r="G448" s="123">
        <v>1</v>
      </c>
      <c r="H448" s="123">
        <v>1</v>
      </c>
      <c r="I448" s="123">
        <v>1</v>
      </c>
      <c r="J448" s="123">
        <v>1</v>
      </c>
      <c r="K448" s="123">
        <v>1</v>
      </c>
    </row>
    <row r="449" spans="1:11" ht="25.5" x14ac:dyDescent="0.25">
      <c r="A449" s="1522"/>
      <c r="B449" s="176" t="s">
        <v>1136</v>
      </c>
      <c r="C449" s="1525"/>
      <c r="D449" s="1526"/>
      <c r="E449" s="1526"/>
      <c r="F449" s="1526"/>
      <c r="G449" s="1526"/>
      <c r="H449" s="1526"/>
      <c r="I449" s="1526"/>
      <c r="J449" s="1526"/>
      <c r="K449" s="1527"/>
    </row>
    <row r="450" spans="1:11" x14ac:dyDescent="0.25">
      <c r="A450" s="1523"/>
      <c r="B450" s="231" t="s">
        <v>1130</v>
      </c>
      <c r="C450" s="25" t="s">
        <v>1126</v>
      </c>
      <c r="D450" s="289" t="s">
        <v>1757</v>
      </c>
      <c r="E450" s="1245" t="s">
        <v>217</v>
      </c>
      <c r="F450" s="1246">
        <v>1</v>
      </c>
      <c r="G450" s="1246">
        <v>1</v>
      </c>
      <c r="H450" s="1246">
        <v>1</v>
      </c>
      <c r="I450" s="1246">
        <v>1</v>
      </c>
      <c r="J450" s="1246">
        <v>1</v>
      </c>
      <c r="K450" s="1246">
        <v>1</v>
      </c>
    </row>
    <row r="451" spans="1:11" x14ac:dyDescent="0.25">
      <c r="A451" s="1523"/>
      <c r="B451" s="231" t="s">
        <v>1134</v>
      </c>
      <c r="C451" s="25" t="s">
        <v>1126</v>
      </c>
      <c r="D451" s="289" t="s">
        <v>1757</v>
      </c>
      <c r="E451" s="1245" t="s">
        <v>217</v>
      </c>
      <c r="F451" s="1245" t="s">
        <v>217</v>
      </c>
      <c r="G451" s="1246">
        <v>1</v>
      </c>
      <c r="H451" s="1246">
        <v>1</v>
      </c>
      <c r="I451" s="1246">
        <v>1</v>
      </c>
      <c r="J451" s="1246">
        <v>1</v>
      </c>
      <c r="K451" s="1246">
        <v>1</v>
      </c>
    </row>
    <row r="452" spans="1:11" x14ac:dyDescent="0.25">
      <c r="A452" s="1524"/>
      <c r="B452" s="231" t="s">
        <v>1135</v>
      </c>
      <c r="C452" s="25" t="s">
        <v>1126</v>
      </c>
      <c r="D452" s="289" t="s">
        <v>1757</v>
      </c>
      <c r="E452" s="1245" t="s">
        <v>217</v>
      </c>
      <c r="F452" s="1245" t="s">
        <v>217</v>
      </c>
      <c r="G452" s="1246">
        <v>1</v>
      </c>
      <c r="H452" s="1246">
        <v>1</v>
      </c>
      <c r="I452" s="1246">
        <v>1</v>
      </c>
      <c r="J452" s="1246">
        <v>1</v>
      </c>
      <c r="K452" s="1246">
        <v>1</v>
      </c>
    </row>
    <row r="453" spans="1:11" ht="25.5" x14ac:dyDescent="0.25">
      <c r="A453" s="123"/>
      <c r="B453" s="1085" t="s">
        <v>1137</v>
      </c>
      <c r="C453" s="25" t="s">
        <v>1126</v>
      </c>
      <c r="D453" s="153" t="s">
        <v>1295</v>
      </c>
      <c r="E453" s="1225">
        <v>60</v>
      </c>
      <c r="F453" s="1225">
        <v>60</v>
      </c>
      <c r="G453" s="1225">
        <v>120</v>
      </c>
      <c r="H453" s="1225">
        <v>120</v>
      </c>
      <c r="I453" s="1225">
        <v>200</v>
      </c>
      <c r="J453" s="1225">
        <v>300</v>
      </c>
      <c r="K453" s="1247">
        <v>300</v>
      </c>
    </row>
    <row r="454" spans="1:11" ht="114.75" x14ac:dyDescent="0.25">
      <c r="A454" s="123"/>
      <c r="B454" s="1085" t="s">
        <v>1140</v>
      </c>
      <c r="C454" s="25" t="s">
        <v>1126</v>
      </c>
      <c r="D454" s="280" t="s">
        <v>1758</v>
      </c>
      <c r="E454" s="37" t="s">
        <v>1141</v>
      </c>
      <c r="F454" s="37" t="s">
        <v>1759</v>
      </c>
      <c r="G454" s="37" t="s">
        <v>1760</v>
      </c>
      <c r="H454" s="37" t="s">
        <v>1761</v>
      </c>
      <c r="I454" s="37" t="s">
        <v>1762</v>
      </c>
      <c r="J454" s="37" t="s">
        <v>1142</v>
      </c>
      <c r="K454" s="37" t="s">
        <v>1142</v>
      </c>
    </row>
    <row r="455" spans="1:11" x14ac:dyDescent="0.25">
      <c r="A455" s="1101" t="s">
        <v>1144</v>
      </c>
      <c r="B455" s="1539" t="s">
        <v>1763</v>
      </c>
      <c r="C455" s="1540"/>
      <c r="D455" s="1540"/>
      <c r="E455" s="1540"/>
      <c r="F455" s="1540"/>
      <c r="G455" s="1540"/>
      <c r="H455" s="1540"/>
      <c r="I455" s="1540"/>
      <c r="J455" s="1540"/>
      <c r="K455" s="1541"/>
    </row>
    <row r="456" spans="1:11" ht="51" x14ac:dyDescent="0.25">
      <c r="A456" s="123"/>
      <c r="B456" s="298" t="s">
        <v>1148</v>
      </c>
      <c r="C456" s="299" t="s">
        <v>1358</v>
      </c>
      <c r="D456" s="25" t="s">
        <v>1271</v>
      </c>
      <c r="E456" s="1185">
        <v>24</v>
      </c>
      <c r="F456" s="1185">
        <v>19</v>
      </c>
      <c r="G456" s="1185">
        <v>19</v>
      </c>
      <c r="H456" s="1185">
        <v>19</v>
      </c>
      <c r="I456" s="1185">
        <v>19</v>
      </c>
      <c r="J456" s="1185">
        <v>18.97</v>
      </c>
      <c r="K456" s="1185">
        <v>95</v>
      </c>
    </row>
    <row r="457" spans="1:11" ht="76.5" x14ac:dyDescent="0.25">
      <c r="A457" s="123"/>
      <c r="B457" s="298" t="s">
        <v>1151</v>
      </c>
      <c r="C457" s="299" t="s">
        <v>1358</v>
      </c>
      <c r="D457" s="25" t="s">
        <v>1271</v>
      </c>
      <c r="E457" s="1185">
        <v>0</v>
      </c>
      <c r="F457" s="1185">
        <v>10</v>
      </c>
      <c r="G457" s="1248">
        <v>22.5</v>
      </c>
      <c r="H457" s="1248">
        <v>22.5</v>
      </c>
      <c r="I457" s="1248">
        <v>22.5</v>
      </c>
      <c r="J457" s="1248">
        <v>22.5</v>
      </c>
      <c r="K457" s="1185">
        <f>SUM(F457:J457)</f>
        <v>100</v>
      </c>
    </row>
    <row r="458" spans="1:11" ht="51" x14ac:dyDescent="0.25">
      <c r="A458" s="123"/>
      <c r="B458" s="298" t="s">
        <v>1153</v>
      </c>
      <c r="C458" s="299" t="s">
        <v>1358</v>
      </c>
      <c r="D458" s="25" t="s">
        <v>1271</v>
      </c>
      <c r="E458" s="1117">
        <v>0</v>
      </c>
      <c r="F458" s="1117">
        <v>0</v>
      </c>
      <c r="G458" s="1185">
        <v>100</v>
      </c>
      <c r="H458" s="1185">
        <v>100</v>
      </c>
      <c r="I458" s="1185">
        <v>100</v>
      </c>
      <c r="J458" s="1185">
        <v>100</v>
      </c>
      <c r="K458" s="1185">
        <v>100</v>
      </c>
    </row>
    <row r="459" spans="1:11" ht="76.5" x14ac:dyDescent="0.25">
      <c r="A459" s="123"/>
      <c r="B459" s="300" t="s">
        <v>1155</v>
      </c>
      <c r="C459" s="299" t="s">
        <v>1358</v>
      </c>
      <c r="D459" s="25" t="s">
        <v>1271</v>
      </c>
      <c r="E459" s="1117">
        <v>0</v>
      </c>
      <c r="F459" s="1117">
        <v>0</v>
      </c>
      <c r="G459" s="1185">
        <v>100</v>
      </c>
      <c r="H459" s="1185">
        <v>100</v>
      </c>
      <c r="I459" s="1185">
        <v>100</v>
      </c>
      <c r="J459" s="1185">
        <v>100</v>
      </c>
      <c r="K459" s="1185">
        <v>100</v>
      </c>
    </row>
    <row r="460" spans="1:11" ht="51" x14ac:dyDescent="0.25">
      <c r="A460" s="123"/>
      <c r="B460" s="300" t="s">
        <v>1156</v>
      </c>
      <c r="C460" s="299" t="s">
        <v>1358</v>
      </c>
      <c r="D460" s="25" t="s">
        <v>1271</v>
      </c>
      <c r="E460" s="1185">
        <v>100</v>
      </c>
      <c r="F460" s="1185">
        <v>100</v>
      </c>
      <c r="G460" s="1185">
        <v>100</v>
      </c>
      <c r="H460" s="1185">
        <v>100</v>
      </c>
      <c r="I460" s="1185">
        <v>100</v>
      </c>
      <c r="J460" s="1185">
        <v>100</v>
      </c>
      <c r="K460" s="1185">
        <v>100</v>
      </c>
    </row>
    <row r="461" spans="1:11" ht="63.75" x14ac:dyDescent="0.25">
      <c r="A461" s="123"/>
      <c r="B461" s="300" t="s">
        <v>1157</v>
      </c>
      <c r="C461" s="299" t="s">
        <v>1358</v>
      </c>
      <c r="D461" s="25" t="s">
        <v>1271</v>
      </c>
      <c r="E461" s="1185">
        <v>0</v>
      </c>
      <c r="F461" s="1185">
        <v>0</v>
      </c>
      <c r="G461" s="1185">
        <v>0</v>
      </c>
      <c r="H461" s="1185">
        <v>0</v>
      </c>
      <c r="I461" s="1185">
        <v>0</v>
      </c>
      <c r="J461" s="1185">
        <v>0</v>
      </c>
      <c r="K461" s="1185">
        <v>0</v>
      </c>
    </row>
    <row r="462" spans="1:11" ht="63.75" x14ac:dyDescent="0.25">
      <c r="A462" s="123"/>
      <c r="B462" s="300" t="s">
        <v>1764</v>
      </c>
      <c r="C462" s="299" t="s">
        <v>1358</v>
      </c>
      <c r="D462" s="25" t="s">
        <v>1271</v>
      </c>
      <c r="E462" s="1117">
        <v>0</v>
      </c>
      <c r="F462" s="1248">
        <v>5</v>
      </c>
      <c r="G462" s="1185">
        <v>24</v>
      </c>
      <c r="H462" s="1185">
        <v>24</v>
      </c>
      <c r="I462" s="1185">
        <v>24</v>
      </c>
      <c r="J462" s="1185">
        <v>22</v>
      </c>
      <c r="K462" s="1185">
        <v>99</v>
      </c>
    </row>
    <row r="463" spans="1:11" ht="38.25" x14ac:dyDescent="0.25">
      <c r="A463" s="123"/>
      <c r="B463" s="23" t="s">
        <v>1765</v>
      </c>
      <c r="C463" s="25" t="s">
        <v>1766</v>
      </c>
      <c r="D463" s="25" t="s">
        <v>1304</v>
      </c>
      <c r="E463" s="123">
        <v>12</v>
      </c>
      <c r="F463" s="123">
        <v>12</v>
      </c>
      <c r="G463" s="123">
        <v>12</v>
      </c>
      <c r="H463" s="123">
        <v>12</v>
      </c>
      <c r="I463" s="123">
        <v>12</v>
      </c>
      <c r="J463" s="123">
        <v>12</v>
      </c>
      <c r="K463" s="123">
        <v>12</v>
      </c>
    </row>
    <row r="464" spans="1:11" ht="38.25" x14ac:dyDescent="0.25">
      <c r="A464" s="123"/>
      <c r="B464" s="23" t="s">
        <v>1765</v>
      </c>
      <c r="C464" s="25" t="s">
        <v>1767</v>
      </c>
      <c r="D464" s="25" t="s">
        <v>1304</v>
      </c>
      <c r="E464" s="1109">
        <v>44</v>
      </c>
      <c r="F464" s="1109">
        <v>45</v>
      </c>
      <c r="G464" s="1109">
        <v>45</v>
      </c>
      <c r="H464" s="1109">
        <v>45</v>
      </c>
      <c r="I464" s="1109">
        <v>45</v>
      </c>
      <c r="J464" s="1109">
        <v>45</v>
      </c>
      <c r="K464" s="1109">
        <v>45</v>
      </c>
    </row>
    <row r="465" spans="1:11" ht="38.25" x14ac:dyDescent="0.25">
      <c r="A465" s="123"/>
      <c r="B465" s="23" t="s">
        <v>1765</v>
      </c>
      <c r="C465" s="25" t="s">
        <v>1768</v>
      </c>
      <c r="D465" s="25" t="s">
        <v>1304</v>
      </c>
      <c r="E465" s="123">
        <v>32</v>
      </c>
      <c r="F465" s="123">
        <v>32</v>
      </c>
      <c r="G465" s="123">
        <v>32</v>
      </c>
      <c r="H465" s="123">
        <v>32</v>
      </c>
      <c r="I465" s="123">
        <v>32</v>
      </c>
      <c r="J465" s="123">
        <v>32</v>
      </c>
      <c r="K465" s="123">
        <v>32</v>
      </c>
    </row>
    <row r="466" spans="1:11" ht="25.5" x14ac:dyDescent="0.25">
      <c r="A466" s="123"/>
      <c r="B466" s="23" t="s">
        <v>1765</v>
      </c>
      <c r="C466" s="25" t="s">
        <v>1769</v>
      </c>
      <c r="D466" s="25" t="s">
        <v>1304</v>
      </c>
      <c r="E466" s="1138">
        <v>38</v>
      </c>
      <c r="F466" s="1138">
        <v>38</v>
      </c>
      <c r="G466" s="1138">
        <v>38</v>
      </c>
      <c r="H466" s="1138">
        <v>38</v>
      </c>
      <c r="I466" s="1138">
        <v>38</v>
      </c>
      <c r="J466" s="1138">
        <v>38</v>
      </c>
      <c r="K466" s="1138">
        <v>38</v>
      </c>
    </row>
    <row r="467" spans="1:11" ht="25.5" x14ac:dyDescent="0.25">
      <c r="A467" s="123"/>
      <c r="B467" s="23" t="s">
        <v>1765</v>
      </c>
      <c r="C467" s="25" t="s">
        <v>1770</v>
      </c>
      <c r="D467" s="25" t="s">
        <v>1304</v>
      </c>
      <c r="E467" s="123">
        <v>28</v>
      </c>
      <c r="F467" s="123">
        <v>28</v>
      </c>
      <c r="G467" s="123">
        <v>28</v>
      </c>
      <c r="H467" s="123">
        <v>28</v>
      </c>
      <c r="I467" s="123">
        <v>28</v>
      </c>
      <c r="J467" s="123">
        <v>28</v>
      </c>
      <c r="K467" s="123">
        <v>28</v>
      </c>
    </row>
    <row r="468" spans="1:11" ht="38.25" x14ac:dyDescent="0.25">
      <c r="A468" s="123"/>
      <c r="B468" s="23" t="s">
        <v>1765</v>
      </c>
      <c r="C468" s="25" t="s">
        <v>1771</v>
      </c>
      <c r="D468" s="25" t="s">
        <v>1304</v>
      </c>
      <c r="E468" s="123">
        <v>26</v>
      </c>
      <c r="F468" s="123">
        <v>26</v>
      </c>
      <c r="G468" s="123">
        <v>26</v>
      </c>
      <c r="H468" s="123">
        <v>26</v>
      </c>
      <c r="I468" s="123">
        <v>26</v>
      </c>
      <c r="J468" s="123">
        <v>26</v>
      </c>
      <c r="K468" s="123">
        <v>26</v>
      </c>
    </row>
    <row r="469" spans="1:11" ht="38.25" x14ac:dyDescent="0.25">
      <c r="A469" s="123"/>
      <c r="B469" s="294" t="s">
        <v>1765</v>
      </c>
      <c r="C469" s="295" t="s">
        <v>1772</v>
      </c>
      <c r="D469" s="25" t="s">
        <v>1304</v>
      </c>
      <c r="E469" s="123">
        <v>12</v>
      </c>
      <c r="F469" s="123">
        <v>12</v>
      </c>
      <c r="G469" s="123">
        <v>12</v>
      </c>
      <c r="H469" s="123">
        <v>12</v>
      </c>
      <c r="I469" s="123">
        <v>12</v>
      </c>
      <c r="J469" s="123">
        <v>12</v>
      </c>
      <c r="K469" s="123">
        <v>12</v>
      </c>
    </row>
    <row r="470" spans="1:11" ht="25.5" x14ac:dyDescent="0.25">
      <c r="A470" s="123"/>
      <c r="B470" s="23" t="s">
        <v>1765</v>
      </c>
      <c r="C470" s="25" t="s">
        <v>1773</v>
      </c>
      <c r="D470" s="25" t="s">
        <v>1304</v>
      </c>
      <c r="E470" s="123">
        <v>22</v>
      </c>
      <c r="F470" s="123">
        <v>22</v>
      </c>
      <c r="G470" s="123">
        <v>22</v>
      </c>
      <c r="H470" s="123">
        <v>22</v>
      </c>
      <c r="I470" s="123">
        <v>22</v>
      </c>
      <c r="J470" s="123">
        <v>22</v>
      </c>
      <c r="K470" s="123">
        <v>22</v>
      </c>
    </row>
    <row r="471" spans="1:11" ht="38.25" x14ac:dyDescent="0.25">
      <c r="A471" s="123"/>
      <c r="B471" s="23" t="s">
        <v>1765</v>
      </c>
      <c r="C471" s="25" t="s">
        <v>1774</v>
      </c>
      <c r="D471" s="25" t="s">
        <v>1304</v>
      </c>
      <c r="E471" s="123">
        <v>20</v>
      </c>
      <c r="F471" s="123">
        <v>20</v>
      </c>
      <c r="G471" s="123">
        <v>20</v>
      </c>
      <c r="H471" s="123">
        <v>20</v>
      </c>
      <c r="I471" s="123">
        <v>20</v>
      </c>
      <c r="J471" s="123">
        <v>20</v>
      </c>
      <c r="K471" s="123">
        <v>20</v>
      </c>
    </row>
    <row r="472" spans="1:11" ht="25.5" x14ac:dyDescent="0.25">
      <c r="A472" s="123"/>
      <c r="B472" s="23" t="s">
        <v>1765</v>
      </c>
      <c r="C472" s="25" t="s">
        <v>1775</v>
      </c>
      <c r="D472" s="25" t="s">
        <v>1304</v>
      </c>
      <c r="E472" s="123">
        <v>20</v>
      </c>
      <c r="F472" s="123">
        <v>20</v>
      </c>
      <c r="G472" s="123">
        <v>20</v>
      </c>
      <c r="H472" s="123">
        <v>20</v>
      </c>
      <c r="I472" s="123">
        <v>20</v>
      </c>
      <c r="J472" s="123">
        <v>20</v>
      </c>
      <c r="K472" s="123">
        <v>20</v>
      </c>
    </row>
    <row r="473" spans="1:11" x14ac:dyDescent="0.25">
      <c r="A473" s="1101" t="s">
        <v>1183</v>
      </c>
      <c r="B473" s="1539" t="s">
        <v>1184</v>
      </c>
      <c r="C473" s="1540"/>
      <c r="D473" s="1540"/>
      <c r="E473" s="1540"/>
      <c r="F473" s="1540"/>
      <c r="G473" s="1540"/>
      <c r="H473" s="1540"/>
      <c r="I473" s="1540"/>
      <c r="J473" s="1540"/>
      <c r="K473" s="1541"/>
    </row>
    <row r="474" spans="1:11" ht="51" x14ac:dyDescent="0.25">
      <c r="A474" s="123"/>
      <c r="B474" s="300" t="s">
        <v>1187</v>
      </c>
      <c r="C474" s="299" t="s">
        <v>1358</v>
      </c>
      <c r="D474" s="25" t="s">
        <v>1271</v>
      </c>
      <c r="E474" s="1109">
        <v>25</v>
      </c>
      <c r="F474" s="1109">
        <v>25</v>
      </c>
      <c r="G474" s="1109">
        <v>25</v>
      </c>
      <c r="H474" s="1109">
        <v>25</v>
      </c>
      <c r="I474" s="1109">
        <v>25</v>
      </c>
      <c r="J474" s="1109">
        <v>25</v>
      </c>
      <c r="K474" s="1109">
        <v>100</v>
      </c>
    </row>
    <row r="475" spans="1:11" x14ac:dyDescent="0.25">
      <c r="A475" s="1249" t="s">
        <v>1190</v>
      </c>
      <c r="B475" s="1542" t="s">
        <v>1191</v>
      </c>
      <c r="C475" s="1543"/>
      <c r="D475" s="1543"/>
      <c r="E475" s="1543"/>
      <c r="F475" s="1543"/>
      <c r="G475" s="1543"/>
      <c r="H475" s="1543"/>
      <c r="I475" s="1543"/>
      <c r="J475" s="1543"/>
      <c r="K475" s="1544"/>
    </row>
    <row r="476" spans="1:11" x14ac:dyDescent="0.25">
      <c r="A476" s="1101" t="s">
        <v>1192</v>
      </c>
      <c r="B476" s="1539" t="s">
        <v>1776</v>
      </c>
      <c r="C476" s="1540"/>
      <c r="D476" s="1540"/>
      <c r="E476" s="1540"/>
      <c r="F476" s="1540"/>
      <c r="G476" s="1540"/>
      <c r="H476" s="1540"/>
      <c r="I476" s="1540"/>
      <c r="J476" s="1540"/>
      <c r="K476" s="1541"/>
    </row>
    <row r="477" spans="1:11" s="1256" customFormat="1" ht="25.5" x14ac:dyDescent="0.25">
      <c r="A477" s="1250"/>
      <c r="B477" s="1251" t="s">
        <v>1196</v>
      </c>
      <c r="C477" s="1252" t="s">
        <v>1777</v>
      </c>
      <c r="D477" s="1253"/>
      <c r="E477" s="1254"/>
      <c r="F477" s="1255"/>
      <c r="G477" s="1255"/>
      <c r="H477" s="1255"/>
      <c r="I477" s="1255"/>
      <c r="J477" s="1255"/>
      <c r="K477" s="1255"/>
    </row>
    <row r="478" spans="1:11" s="1256" customFormat="1" ht="25.5" x14ac:dyDescent="0.25">
      <c r="A478" s="1250"/>
      <c r="B478" s="1251" t="s">
        <v>1198</v>
      </c>
      <c r="C478" s="1252" t="s">
        <v>1777</v>
      </c>
      <c r="D478" s="1253"/>
      <c r="E478" s="1254"/>
      <c r="F478" s="1255"/>
      <c r="G478" s="1255"/>
      <c r="H478" s="1255"/>
      <c r="I478" s="1255"/>
      <c r="J478" s="1255"/>
      <c r="K478" s="1255"/>
    </row>
    <row r="479" spans="1:11" s="1256" customFormat="1" ht="25.5" x14ac:dyDescent="0.25">
      <c r="A479" s="1250"/>
      <c r="B479" s="1251" t="s">
        <v>1199</v>
      </c>
      <c r="C479" s="1252" t="s">
        <v>1777</v>
      </c>
      <c r="D479" s="1253"/>
      <c r="E479" s="1254"/>
      <c r="F479" s="1255"/>
      <c r="G479" s="1255"/>
      <c r="H479" s="1255"/>
      <c r="I479" s="1255"/>
      <c r="J479" s="1255"/>
      <c r="K479" s="1255"/>
    </row>
    <row r="480" spans="1:11" ht="38.25" x14ac:dyDescent="0.25">
      <c r="A480" s="1220"/>
      <c r="B480" s="1086" t="s">
        <v>1778</v>
      </c>
      <c r="C480" s="25" t="s">
        <v>1766</v>
      </c>
      <c r="D480" s="1211" t="s">
        <v>1779</v>
      </c>
      <c r="E480" s="1257" t="s">
        <v>217</v>
      </c>
      <c r="F480" s="123">
        <v>8</v>
      </c>
      <c r="G480" s="123">
        <v>10</v>
      </c>
      <c r="H480" s="123">
        <v>12</v>
      </c>
      <c r="I480" s="123">
        <v>13</v>
      </c>
      <c r="J480" s="123">
        <v>15</v>
      </c>
      <c r="K480" s="123">
        <v>15</v>
      </c>
    </row>
    <row r="481" spans="1:11" ht="38.25" x14ac:dyDescent="0.25">
      <c r="A481" s="1220"/>
      <c r="B481" s="1086" t="s">
        <v>1778</v>
      </c>
      <c r="C481" s="25" t="s">
        <v>1767</v>
      </c>
      <c r="D481" s="1211" t="s">
        <v>1779</v>
      </c>
      <c r="E481" s="1257" t="s">
        <v>217</v>
      </c>
      <c r="F481" s="123">
        <v>11</v>
      </c>
      <c r="G481" s="123">
        <v>11</v>
      </c>
      <c r="H481" s="123">
        <v>11</v>
      </c>
      <c r="I481" s="123">
        <v>11</v>
      </c>
      <c r="J481" s="123">
        <v>11</v>
      </c>
      <c r="K481" s="123">
        <v>11</v>
      </c>
    </row>
    <row r="482" spans="1:11" ht="38.25" x14ac:dyDescent="0.25">
      <c r="A482" s="1220"/>
      <c r="B482" s="1086" t="s">
        <v>1778</v>
      </c>
      <c r="C482" s="25" t="s">
        <v>1768</v>
      </c>
      <c r="D482" s="1211" t="s">
        <v>1779</v>
      </c>
      <c r="E482" s="1257" t="s">
        <v>217</v>
      </c>
      <c r="F482" s="123">
        <v>8</v>
      </c>
      <c r="G482" s="123">
        <v>16</v>
      </c>
      <c r="H482" s="123">
        <v>16</v>
      </c>
      <c r="I482" s="123">
        <v>16</v>
      </c>
      <c r="J482" s="123">
        <v>16</v>
      </c>
      <c r="K482" s="123">
        <v>16</v>
      </c>
    </row>
    <row r="483" spans="1:11" ht="25.5" x14ac:dyDescent="0.25">
      <c r="A483" s="1220"/>
      <c r="B483" s="1086" t="s">
        <v>1778</v>
      </c>
      <c r="C483" s="25" t="s">
        <v>1769</v>
      </c>
      <c r="D483" s="1211" t="s">
        <v>1779</v>
      </c>
      <c r="E483" s="1257" t="s">
        <v>217</v>
      </c>
      <c r="F483" s="123">
        <v>9</v>
      </c>
      <c r="G483" s="123">
        <v>9</v>
      </c>
      <c r="H483" s="123">
        <v>9</v>
      </c>
      <c r="I483" s="123">
        <v>9</v>
      </c>
      <c r="J483" s="123">
        <v>9</v>
      </c>
      <c r="K483" s="123">
        <v>9</v>
      </c>
    </row>
    <row r="484" spans="1:11" ht="25.5" x14ac:dyDescent="0.25">
      <c r="A484" s="1220"/>
      <c r="B484" s="1086" t="s">
        <v>1778</v>
      </c>
      <c r="C484" s="25" t="s">
        <v>1770</v>
      </c>
      <c r="D484" s="1211" t="s">
        <v>1779</v>
      </c>
      <c r="E484" s="1257" t="s">
        <v>217</v>
      </c>
      <c r="F484" s="123">
        <v>7</v>
      </c>
      <c r="G484" s="123">
        <v>14</v>
      </c>
      <c r="H484" s="123">
        <v>14</v>
      </c>
      <c r="I484" s="123">
        <v>14</v>
      </c>
      <c r="J484" s="123">
        <v>14</v>
      </c>
      <c r="K484" s="123">
        <v>14</v>
      </c>
    </row>
    <row r="485" spans="1:11" ht="38.25" x14ac:dyDescent="0.25">
      <c r="A485" s="1220"/>
      <c r="B485" s="1086" t="s">
        <v>1778</v>
      </c>
      <c r="C485" s="25" t="s">
        <v>1771</v>
      </c>
      <c r="D485" s="1211" t="s">
        <v>1779</v>
      </c>
      <c r="E485" s="1257" t="s">
        <v>217</v>
      </c>
      <c r="F485" s="123">
        <v>7</v>
      </c>
      <c r="G485" s="123">
        <v>13</v>
      </c>
      <c r="H485" s="123">
        <v>13</v>
      </c>
      <c r="I485" s="123">
        <v>13</v>
      </c>
      <c r="J485" s="123">
        <v>13</v>
      </c>
      <c r="K485" s="123">
        <v>13</v>
      </c>
    </row>
    <row r="486" spans="1:11" ht="38.25" x14ac:dyDescent="0.25">
      <c r="A486" s="1220"/>
      <c r="B486" s="1086" t="s">
        <v>1778</v>
      </c>
      <c r="C486" s="25" t="s">
        <v>1772</v>
      </c>
      <c r="D486" s="1211" t="s">
        <v>1779</v>
      </c>
      <c r="E486" s="1257" t="s">
        <v>217</v>
      </c>
      <c r="F486" s="123">
        <v>13</v>
      </c>
      <c r="G486" s="123">
        <v>26</v>
      </c>
      <c r="H486" s="123">
        <v>26</v>
      </c>
      <c r="I486" s="123">
        <v>26</v>
      </c>
      <c r="J486" s="123">
        <v>26</v>
      </c>
      <c r="K486" s="123">
        <v>26</v>
      </c>
    </row>
    <row r="487" spans="1:11" ht="25.5" x14ac:dyDescent="0.25">
      <c r="A487" s="1220"/>
      <c r="B487" s="1086" t="s">
        <v>1778</v>
      </c>
      <c r="C487" s="25" t="s">
        <v>1773</v>
      </c>
      <c r="D487" s="1211" t="s">
        <v>1779</v>
      </c>
      <c r="E487" s="1257" t="s">
        <v>217</v>
      </c>
      <c r="F487" s="123">
        <v>6</v>
      </c>
      <c r="G487" s="123">
        <v>6</v>
      </c>
      <c r="H487" s="123">
        <v>6</v>
      </c>
      <c r="I487" s="123">
        <v>6</v>
      </c>
      <c r="J487" s="123">
        <v>6</v>
      </c>
      <c r="K487" s="123">
        <v>6</v>
      </c>
    </row>
    <row r="488" spans="1:11" ht="38.25" x14ac:dyDescent="0.25">
      <c r="A488" s="1220"/>
      <c r="B488" s="1086" t="s">
        <v>1778</v>
      </c>
      <c r="C488" s="25" t="s">
        <v>1774</v>
      </c>
      <c r="D488" s="1211" t="s">
        <v>1779</v>
      </c>
      <c r="E488" s="1257" t="s">
        <v>217</v>
      </c>
      <c r="F488" s="123">
        <v>5</v>
      </c>
      <c r="G488" s="123">
        <v>5</v>
      </c>
      <c r="H488" s="123">
        <v>5</v>
      </c>
      <c r="I488" s="123">
        <v>5</v>
      </c>
      <c r="J488" s="123">
        <v>5</v>
      </c>
      <c r="K488" s="123">
        <v>5</v>
      </c>
    </row>
    <row r="489" spans="1:11" ht="25.5" x14ac:dyDescent="0.25">
      <c r="A489" s="1220"/>
      <c r="B489" s="1086" t="s">
        <v>1778</v>
      </c>
      <c r="C489" s="25" t="s">
        <v>1775</v>
      </c>
      <c r="D489" s="1211" t="s">
        <v>1779</v>
      </c>
      <c r="E489" s="1257" t="s">
        <v>217</v>
      </c>
      <c r="F489" s="123">
        <v>5</v>
      </c>
      <c r="G489" s="123">
        <v>10</v>
      </c>
      <c r="H489" s="123">
        <v>10</v>
      </c>
      <c r="I489" s="123">
        <v>10</v>
      </c>
      <c r="J489" s="123">
        <v>10</v>
      </c>
      <c r="K489" s="123">
        <v>10</v>
      </c>
    </row>
    <row r="490" spans="1:11" ht="25.5" x14ac:dyDescent="0.25">
      <c r="A490" s="1258"/>
      <c r="B490" s="302" t="s">
        <v>1214</v>
      </c>
      <c r="C490" s="303" t="s">
        <v>1777</v>
      </c>
      <c r="D490" s="1128" t="s">
        <v>1271</v>
      </c>
      <c r="E490" s="1259" t="s">
        <v>1780</v>
      </c>
      <c r="F490" s="1109">
        <v>24</v>
      </c>
      <c r="G490" s="1109">
        <v>20</v>
      </c>
      <c r="H490" s="1109">
        <v>16</v>
      </c>
      <c r="I490" s="1109">
        <v>12</v>
      </c>
      <c r="J490" s="1109">
        <v>8</v>
      </c>
      <c r="K490" s="1109">
        <v>4</v>
      </c>
    </row>
    <row r="491" spans="1:11" ht="25.5" x14ac:dyDescent="0.25">
      <c r="A491" s="1258"/>
      <c r="B491" s="1086" t="s">
        <v>1218</v>
      </c>
      <c r="C491" s="303" t="s">
        <v>1777</v>
      </c>
      <c r="D491" s="1128" t="s">
        <v>1271</v>
      </c>
      <c r="E491" s="1259" t="s">
        <v>1233</v>
      </c>
      <c r="F491" s="1109">
        <v>0</v>
      </c>
      <c r="G491" s="1109">
        <v>20</v>
      </c>
      <c r="H491" s="1109">
        <v>40</v>
      </c>
      <c r="I491" s="1109">
        <v>50</v>
      </c>
      <c r="J491" s="1109">
        <v>70</v>
      </c>
      <c r="K491" s="1109">
        <v>80</v>
      </c>
    </row>
    <row r="492" spans="1:11" ht="38.25" x14ac:dyDescent="0.25">
      <c r="A492" s="1258"/>
      <c r="B492" s="304" t="s">
        <v>1221</v>
      </c>
      <c r="C492" s="303" t="s">
        <v>1777</v>
      </c>
      <c r="D492" s="1128" t="s">
        <v>1271</v>
      </c>
      <c r="E492" s="1259" t="s">
        <v>1233</v>
      </c>
      <c r="F492" s="1109">
        <v>0</v>
      </c>
      <c r="G492" s="1109">
        <v>20</v>
      </c>
      <c r="H492" s="1109">
        <v>40</v>
      </c>
      <c r="I492" s="1109">
        <v>50</v>
      </c>
      <c r="J492" s="1109">
        <v>70</v>
      </c>
      <c r="K492" s="1109">
        <v>80</v>
      </c>
    </row>
    <row r="493" spans="1:11" ht="25.5" x14ac:dyDescent="0.25">
      <c r="A493" s="1258"/>
      <c r="B493" s="1086" t="s">
        <v>1223</v>
      </c>
      <c r="C493" s="303" t="s">
        <v>1777</v>
      </c>
      <c r="D493" s="1128" t="s">
        <v>1271</v>
      </c>
      <c r="E493" s="1259" t="s">
        <v>1233</v>
      </c>
      <c r="F493" s="1109">
        <v>0</v>
      </c>
      <c r="G493" s="1109">
        <v>20</v>
      </c>
      <c r="H493" s="1109">
        <v>40</v>
      </c>
      <c r="I493" s="1109">
        <v>50</v>
      </c>
      <c r="J493" s="1109">
        <v>70</v>
      </c>
      <c r="K493" s="1109">
        <v>80</v>
      </c>
    </row>
    <row r="494" spans="1:11" ht="25.5" x14ac:dyDescent="0.25">
      <c r="A494" s="1258"/>
      <c r="B494" s="1085" t="s">
        <v>1224</v>
      </c>
      <c r="C494" s="303" t="s">
        <v>1777</v>
      </c>
      <c r="D494" s="1128" t="s">
        <v>1271</v>
      </c>
      <c r="E494" s="1260" t="s">
        <v>1233</v>
      </c>
      <c r="F494" s="1109">
        <v>0</v>
      </c>
      <c r="G494" s="1109">
        <v>20</v>
      </c>
      <c r="H494" s="1109">
        <v>40</v>
      </c>
      <c r="I494" s="1109">
        <v>50</v>
      </c>
      <c r="J494" s="1109">
        <v>70</v>
      </c>
      <c r="K494" s="1109">
        <v>80</v>
      </c>
    </row>
    <row r="495" spans="1:11" ht="38.25" x14ac:dyDescent="0.25">
      <c r="A495" s="1258"/>
      <c r="B495" s="207" t="s">
        <v>1226</v>
      </c>
      <c r="C495" s="303" t="s">
        <v>1777</v>
      </c>
      <c r="D495" s="153" t="s">
        <v>1781</v>
      </c>
      <c r="E495" s="1109">
        <v>2</v>
      </c>
      <c r="F495" s="1109">
        <v>2</v>
      </c>
      <c r="G495" s="1109">
        <v>2</v>
      </c>
      <c r="H495" s="123" t="s">
        <v>217</v>
      </c>
      <c r="I495" s="123" t="s">
        <v>217</v>
      </c>
      <c r="J495" s="123" t="s">
        <v>217</v>
      </c>
      <c r="K495" s="123" t="s">
        <v>217</v>
      </c>
    </row>
    <row r="496" spans="1:11" ht="25.5" x14ac:dyDescent="0.25">
      <c r="A496" s="1258"/>
      <c r="B496" s="207" t="s">
        <v>1229</v>
      </c>
      <c r="C496" s="303" t="s">
        <v>1777</v>
      </c>
      <c r="D496" s="1128" t="s">
        <v>1271</v>
      </c>
      <c r="E496" s="1109">
        <v>3</v>
      </c>
      <c r="F496" s="1109">
        <v>3</v>
      </c>
      <c r="G496" s="1109">
        <v>3</v>
      </c>
      <c r="H496" s="1109">
        <v>3</v>
      </c>
      <c r="I496" s="1109">
        <v>3</v>
      </c>
      <c r="J496" s="1109">
        <v>3</v>
      </c>
      <c r="K496" s="1109">
        <v>3</v>
      </c>
    </row>
    <row r="497" spans="1:11" ht="25.5" x14ac:dyDescent="0.25">
      <c r="A497" s="1258"/>
      <c r="B497" s="176" t="s">
        <v>1232</v>
      </c>
      <c r="C497" s="303" t="s">
        <v>1777</v>
      </c>
      <c r="D497" s="289" t="s">
        <v>1782</v>
      </c>
      <c r="E497" s="1167" t="s">
        <v>1233</v>
      </c>
      <c r="F497" s="1261" t="s">
        <v>1233</v>
      </c>
      <c r="G497" s="123">
        <v>10</v>
      </c>
      <c r="H497" s="123">
        <v>20</v>
      </c>
      <c r="I497" s="123">
        <v>30</v>
      </c>
      <c r="J497" s="123">
        <v>40</v>
      </c>
      <c r="K497" s="123">
        <v>50</v>
      </c>
    </row>
    <row r="498" spans="1:11" ht="25.5" x14ac:dyDescent="0.25">
      <c r="A498" s="1258"/>
      <c r="B498" s="176" t="s">
        <v>1236</v>
      </c>
      <c r="C498" s="303" t="s">
        <v>1777</v>
      </c>
      <c r="D498" s="289" t="s">
        <v>1782</v>
      </c>
      <c r="E498" s="123">
        <v>8</v>
      </c>
      <c r="F498" s="123">
        <v>8</v>
      </c>
      <c r="G498" s="123">
        <v>10</v>
      </c>
      <c r="H498" s="123">
        <v>15</v>
      </c>
      <c r="I498" s="123">
        <v>20</v>
      </c>
      <c r="J498" s="123">
        <v>20</v>
      </c>
      <c r="K498" s="123">
        <v>20</v>
      </c>
    </row>
    <row r="499" spans="1:11" ht="21" customHeight="1" x14ac:dyDescent="0.25">
      <c r="A499" s="1101" t="s">
        <v>1239</v>
      </c>
      <c r="B499" s="1539" t="s">
        <v>1240</v>
      </c>
      <c r="C499" s="1540"/>
      <c r="D499" s="1540"/>
      <c r="E499" s="1540"/>
      <c r="F499" s="1540"/>
      <c r="G499" s="1540"/>
      <c r="H499" s="1540"/>
      <c r="I499" s="1540"/>
      <c r="J499" s="1540"/>
      <c r="K499" s="1541"/>
    </row>
    <row r="500" spans="1:11" ht="31.5" customHeight="1" x14ac:dyDescent="0.25">
      <c r="A500" s="123"/>
      <c r="B500" s="1086" t="s">
        <v>1243</v>
      </c>
      <c r="C500" s="25" t="s">
        <v>1783</v>
      </c>
      <c r="D500" s="1128" t="s">
        <v>1271</v>
      </c>
      <c r="E500" s="123" t="s">
        <v>1784</v>
      </c>
      <c r="F500" s="123" t="s">
        <v>1784</v>
      </c>
      <c r="G500" s="123" t="s">
        <v>1785</v>
      </c>
      <c r="H500" s="123" t="s">
        <v>1786</v>
      </c>
      <c r="I500" s="1109">
        <v>73</v>
      </c>
      <c r="J500" s="1109">
        <v>100</v>
      </c>
      <c r="K500" s="1109">
        <v>100</v>
      </c>
    </row>
    <row r="501" spans="1:11" ht="31.5" customHeight="1" x14ac:dyDescent="0.25">
      <c r="A501" s="123"/>
      <c r="B501" s="1086" t="s">
        <v>1248</v>
      </c>
      <c r="C501" s="25" t="s">
        <v>1783</v>
      </c>
      <c r="D501" s="25" t="s">
        <v>1787</v>
      </c>
      <c r="E501" s="123">
        <v>17</v>
      </c>
      <c r="F501" s="123">
        <v>12</v>
      </c>
      <c r="G501" s="123">
        <v>12</v>
      </c>
      <c r="H501" s="123">
        <v>12</v>
      </c>
      <c r="I501" s="123">
        <v>12</v>
      </c>
      <c r="J501" s="123">
        <v>12</v>
      </c>
      <c r="K501" s="123">
        <v>12</v>
      </c>
    </row>
    <row r="502" spans="1:11" ht="33" customHeight="1" x14ac:dyDescent="0.25">
      <c r="A502" s="123"/>
      <c r="B502" s="1086" t="s">
        <v>1252</v>
      </c>
      <c r="C502" s="25" t="s">
        <v>1783</v>
      </c>
      <c r="D502" s="1128" t="s">
        <v>1271</v>
      </c>
      <c r="E502" s="1109">
        <v>13</v>
      </c>
      <c r="F502" s="1109">
        <v>6</v>
      </c>
      <c r="G502" s="1109">
        <v>22</v>
      </c>
      <c r="H502" s="1109">
        <v>26</v>
      </c>
      <c r="I502" s="1109">
        <v>26</v>
      </c>
      <c r="J502" s="1109">
        <v>6</v>
      </c>
      <c r="K502" s="1109">
        <v>6</v>
      </c>
    </row>
    <row r="505" spans="1:11" x14ac:dyDescent="0.25">
      <c r="F505" s="1094">
        <v>2013</v>
      </c>
      <c r="G505" s="1094">
        <v>18</v>
      </c>
      <c r="H505" s="1094">
        <v>5</v>
      </c>
      <c r="I505" s="1262">
        <f>G505/E509*100</f>
        <v>52.941176470588239</v>
      </c>
    </row>
    <row r="506" spans="1:11" x14ac:dyDescent="0.25">
      <c r="F506" s="1094">
        <v>2014</v>
      </c>
      <c r="G506" s="1094">
        <f>G505+H505</f>
        <v>23</v>
      </c>
      <c r="I506" s="1262">
        <f>G506/E509*100</f>
        <v>67.64705882352942</v>
      </c>
    </row>
    <row r="507" spans="1:11" x14ac:dyDescent="0.25">
      <c r="F507" s="1094">
        <v>2015</v>
      </c>
      <c r="G507" s="1094">
        <f>G506+H505</f>
        <v>28</v>
      </c>
      <c r="I507" s="1262">
        <f>G507/E509*100</f>
        <v>82.35294117647058</v>
      </c>
    </row>
    <row r="508" spans="1:11" x14ac:dyDescent="0.25">
      <c r="E508" s="1094">
        <v>18</v>
      </c>
      <c r="F508" s="1094">
        <v>2016</v>
      </c>
      <c r="G508" s="1094">
        <f>G507+H505</f>
        <v>33</v>
      </c>
      <c r="I508" s="1262">
        <f>G508/E509*100</f>
        <v>97.058823529411768</v>
      </c>
    </row>
    <row r="509" spans="1:11" x14ac:dyDescent="0.25">
      <c r="E509" s="1094">
        <v>34</v>
      </c>
      <c r="F509" s="1094">
        <v>2017</v>
      </c>
      <c r="G509" s="1094">
        <v>34</v>
      </c>
      <c r="I509" s="1094">
        <f>G509/E509*100</f>
        <v>100</v>
      </c>
    </row>
    <row r="510" spans="1:11" x14ac:dyDescent="0.25">
      <c r="F510" s="1094">
        <v>2018</v>
      </c>
      <c r="I510" s="1094">
        <v>100</v>
      </c>
    </row>
  </sheetData>
  <mergeCells count="79">
    <mergeCell ref="A1:K1"/>
    <mergeCell ref="A2:K2"/>
    <mergeCell ref="A3:K3"/>
    <mergeCell ref="A4:K4"/>
    <mergeCell ref="A6:A7"/>
    <mergeCell ref="B6:B7"/>
    <mergeCell ref="D6:D7"/>
    <mergeCell ref="F6:J6"/>
    <mergeCell ref="K6:K7"/>
    <mergeCell ref="A88:A91"/>
    <mergeCell ref="C88:K88"/>
    <mergeCell ref="B9:K9"/>
    <mergeCell ref="B10:K10"/>
    <mergeCell ref="B32:K32"/>
    <mergeCell ref="B40:K40"/>
    <mergeCell ref="B50:K50"/>
    <mergeCell ref="B54:K54"/>
    <mergeCell ref="B67:K67"/>
    <mergeCell ref="B77:K77"/>
    <mergeCell ref="B78:K78"/>
    <mergeCell ref="A83:A87"/>
    <mergeCell ref="C83:K83"/>
    <mergeCell ref="A92:A94"/>
    <mergeCell ref="C92:K92"/>
    <mergeCell ref="A95:A98"/>
    <mergeCell ref="C95:K95"/>
    <mergeCell ref="A100:A104"/>
    <mergeCell ref="C100:K100"/>
    <mergeCell ref="A113:A118"/>
    <mergeCell ref="C113:K113"/>
    <mergeCell ref="A119:A127"/>
    <mergeCell ref="C119:K119"/>
    <mergeCell ref="D120:K120"/>
    <mergeCell ref="D124:K124"/>
    <mergeCell ref="D126:K126"/>
    <mergeCell ref="B237:K237"/>
    <mergeCell ref="B248:K248"/>
    <mergeCell ref="B135:K135"/>
    <mergeCell ref="A144:A148"/>
    <mergeCell ref="B150:K150"/>
    <mergeCell ref="B155:K155"/>
    <mergeCell ref="B169:K169"/>
    <mergeCell ref="C144:K144"/>
    <mergeCell ref="B183:K183"/>
    <mergeCell ref="B188:K188"/>
    <mergeCell ref="B189:K189"/>
    <mergeCell ref="B220:K220"/>
    <mergeCell ref="B230:K230"/>
    <mergeCell ref="A338:A341"/>
    <mergeCell ref="D338:K338"/>
    <mergeCell ref="B375:K375"/>
    <mergeCell ref="B389:K389"/>
    <mergeCell ref="A251:A253"/>
    <mergeCell ref="A254:A256"/>
    <mergeCell ref="A257:A259"/>
    <mergeCell ref="B286:K286"/>
    <mergeCell ref="A318:A321"/>
    <mergeCell ref="C318:K318"/>
    <mergeCell ref="B297:K297"/>
    <mergeCell ref="B309:K309"/>
    <mergeCell ref="B317:K317"/>
    <mergeCell ref="B332:K332"/>
    <mergeCell ref="A342:A343"/>
    <mergeCell ref="B358:K358"/>
    <mergeCell ref="B499:K499"/>
    <mergeCell ref="B476:K476"/>
    <mergeCell ref="C401:K401"/>
    <mergeCell ref="C408:K408"/>
    <mergeCell ref="B422:K422"/>
    <mergeCell ref="B433:K433"/>
    <mergeCell ref="B455:K455"/>
    <mergeCell ref="B473:K473"/>
    <mergeCell ref="B475:K475"/>
    <mergeCell ref="A449:A452"/>
    <mergeCell ref="C449:K449"/>
    <mergeCell ref="C390:K390"/>
    <mergeCell ref="C395:K395"/>
    <mergeCell ref="A445:A446"/>
    <mergeCell ref="C445:K445"/>
  </mergeCells>
  <pageMargins left="0.7" right="0.7" top="0.75" bottom="0.75" header="0.3" footer="0.3"/>
  <pageSetup paperSize="9" scale="70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sqref="A1:G1"/>
    </sheetView>
  </sheetViews>
  <sheetFormatPr defaultRowHeight="15" x14ac:dyDescent="0.25"/>
  <cols>
    <col min="1" max="1" width="6.42578125" style="1094" bestFit="1" customWidth="1"/>
    <col min="2" max="2" width="28" style="1094" customWidth="1"/>
    <col min="3" max="3" width="10.85546875" style="1094" customWidth="1"/>
    <col min="4" max="4" width="12.28515625" style="1094" customWidth="1"/>
    <col min="5" max="5" width="15" style="1094" customWidth="1"/>
    <col min="6" max="6" width="8.5703125" style="1094" customWidth="1"/>
    <col min="7" max="7" width="15.28515625" style="1094" customWidth="1"/>
    <col min="8" max="8" width="15.5703125" style="1094" customWidth="1"/>
    <col min="9" max="9" width="15.42578125" style="1094" bestFit="1" customWidth="1"/>
    <col min="10" max="10" width="15.5703125" style="1094" customWidth="1"/>
    <col min="11" max="11" width="15" style="1094" customWidth="1"/>
    <col min="12" max="16384" width="9.140625" style="1094"/>
  </cols>
  <sheetData>
    <row r="1" spans="1:11" ht="15.75" x14ac:dyDescent="0.25">
      <c r="A1" s="1589" t="s">
        <v>2597</v>
      </c>
      <c r="B1" s="1589"/>
      <c r="C1" s="1589"/>
      <c r="D1" s="1589"/>
      <c r="E1" s="1589"/>
      <c r="F1" s="1589"/>
      <c r="G1" s="1589"/>
      <c r="H1" s="1274"/>
      <c r="I1" s="1274"/>
      <c r="J1" s="1274"/>
      <c r="K1" s="1274"/>
    </row>
    <row r="2" spans="1:11" x14ac:dyDescent="0.25">
      <c r="A2" s="1275"/>
      <c r="B2" s="1275"/>
      <c r="C2" s="1275"/>
      <c r="D2" s="1275"/>
      <c r="E2" s="1276"/>
      <c r="F2" s="1276"/>
      <c r="G2" s="1276"/>
    </row>
    <row r="3" spans="1:11" ht="19.5" customHeight="1" x14ac:dyDescent="0.25">
      <c r="A3" s="1277" t="s">
        <v>2576</v>
      </c>
      <c r="B3" s="1600" t="s">
        <v>2577</v>
      </c>
      <c r="C3" s="1601"/>
      <c r="D3" s="1601"/>
      <c r="E3" s="1601"/>
      <c r="F3" s="1601"/>
      <c r="G3" s="1602"/>
    </row>
    <row r="4" spans="1:11" ht="19.5" customHeight="1" x14ac:dyDescent="0.25">
      <c r="A4" s="1278"/>
      <c r="B4" s="1278"/>
      <c r="C4" s="1278"/>
      <c r="D4" s="1278"/>
      <c r="E4" s="1278"/>
      <c r="F4" s="1278"/>
      <c r="G4" s="1278"/>
    </row>
    <row r="5" spans="1:11" ht="21.75" customHeight="1" x14ac:dyDescent="0.25">
      <c r="A5" s="1277" t="s">
        <v>2578</v>
      </c>
      <c r="B5" s="1600" t="s">
        <v>1269</v>
      </c>
      <c r="C5" s="1601"/>
      <c r="D5" s="1601"/>
      <c r="E5" s="1601"/>
      <c r="F5" s="1601"/>
      <c r="G5" s="1602"/>
    </row>
    <row r="6" spans="1:11" ht="21.75" customHeight="1" x14ac:dyDescent="0.25">
      <c r="A6" s="1278"/>
      <c r="B6" s="1278"/>
      <c r="C6" s="1279"/>
      <c r="D6" s="1279"/>
      <c r="E6" s="1279"/>
      <c r="F6" s="1279"/>
      <c r="G6" s="1279"/>
    </row>
    <row r="7" spans="1:11" x14ac:dyDescent="0.25">
      <c r="A7" s="1594" t="s">
        <v>2575</v>
      </c>
      <c r="B7" s="1595"/>
      <c r="C7" s="1591" t="s">
        <v>2579</v>
      </c>
      <c r="D7" s="1592"/>
      <c r="E7" s="1592"/>
      <c r="F7" s="1592"/>
      <c r="G7" s="1593"/>
      <c r="H7" s="1104"/>
      <c r="I7" s="1105"/>
      <c r="J7" s="1105"/>
    </row>
    <row r="8" spans="1:11" x14ac:dyDescent="0.25">
      <c r="A8" s="1596"/>
      <c r="B8" s="1597"/>
      <c r="C8" s="1591" t="s">
        <v>2594</v>
      </c>
      <c r="D8" s="1592"/>
      <c r="E8" s="1592"/>
      <c r="F8" s="1592"/>
      <c r="G8" s="1593"/>
      <c r="H8" s="1104"/>
      <c r="I8" s="1105"/>
      <c r="J8" s="1105"/>
    </row>
    <row r="9" spans="1:11" x14ac:dyDescent="0.25">
      <c r="A9" s="1598"/>
      <c r="B9" s="1599"/>
      <c r="C9" s="1290" t="s">
        <v>1255</v>
      </c>
      <c r="D9" s="1290" t="s">
        <v>2580</v>
      </c>
      <c r="E9" s="1291" t="s">
        <v>2581</v>
      </c>
      <c r="F9" s="1287" t="s">
        <v>1271</v>
      </c>
      <c r="G9" s="1291" t="s">
        <v>2582</v>
      </c>
      <c r="H9" s="1104"/>
      <c r="I9" s="1106"/>
      <c r="J9" s="1107"/>
    </row>
    <row r="10" spans="1:11" ht="38.25" x14ac:dyDescent="0.25">
      <c r="A10" s="1290">
        <v>1</v>
      </c>
      <c r="B10" s="270" t="s">
        <v>41</v>
      </c>
      <c r="C10" s="1290" t="s">
        <v>2588</v>
      </c>
      <c r="D10" s="1310">
        <v>4</v>
      </c>
      <c r="E10" s="1312">
        <v>4</v>
      </c>
      <c r="F10" s="1280">
        <f>E10/D10</f>
        <v>1</v>
      </c>
      <c r="G10" s="1280" t="s">
        <v>2593</v>
      </c>
      <c r="H10" s="1107"/>
      <c r="I10" s="1106"/>
      <c r="J10" s="1107"/>
    </row>
    <row r="11" spans="1:11" ht="94.5" customHeight="1" x14ac:dyDescent="0.25">
      <c r="A11" s="1313">
        <v>2</v>
      </c>
      <c r="B11" s="270" t="s">
        <v>42</v>
      </c>
      <c r="C11" s="1290" t="s">
        <v>2588</v>
      </c>
      <c r="D11" s="1310">
        <v>2</v>
      </c>
      <c r="E11" s="1312">
        <v>2</v>
      </c>
      <c r="F11" s="1280">
        <f t="shared" ref="F11:F17" si="0">E11/D11</f>
        <v>1</v>
      </c>
      <c r="G11" s="1280" t="str">
        <f>G10</f>
        <v>PU PR</v>
      </c>
      <c r="H11" s="1107"/>
      <c r="I11" s="1106"/>
      <c r="J11" s="1107"/>
    </row>
    <row r="12" spans="1:11" ht="38.25" x14ac:dyDescent="0.25">
      <c r="A12" s="1313">
        <v>4</v>
      </c>
      <c r="B12" s="270" t="s">
        <v>43</v>
      </c>
      <c r="C12" s="1290" t="s">
        <v>2588</v>
      </c>
      <c r="D12" s="1310">
        <v>23</v>
      </c>
      <c r="E12" s="1312">
        <v>23</v>
      </c>
      <c r="F12" s="1280">
        <f t="shared" si="0"/>
        <v>1</v>
      </c>
      <c r="G12" s="1280" t="str">
        <f t="shared" ref="G12:G17" si="1">G11</f>
        <v>PU PR</v>
      </c>
      <c r="H12" s="1107"/>
      <c r="I12" s="1106"/>
      <c r="J12" s="1107"/>
    </row>
    <row r="13" spans="1:11" ht="38.25" x14ac:dyDescent="0.25">
      <c r="A13" s="1313">
        <v>5</v>
      </c>
      <c r="B13" s="270" t="s">
        <v>57</v>
      </c>
      <c r="C13" s="1290" t="s">
        <v>2588</v>
      </c>
      <c r="D13" s="1109">
        <v>16</v>
      </c>
      <c r="E13" s="1312">
        <v>16</v>
      </c>
      <c r="F13" s="1280">
        <f t="shared" si="0"/>
        <v>1</v>
      </c>
      <c r="G13" s="1280" t="str">
        <f t="shared" si="1"/>
        <v>PU PR</v>
      </c>
      <c r="H13" s="1107"/>
      <c r="I13" s="1106"/>
      <c r="J13" s="1107"/>
    </row>
    <row r="14" spans="1:11" ht="76.5" x14ac:dyDescent="0.25">
      <c r="A14" s="1313">
        <v>6.6666666666666696</v>
      </c>
      <c r="B14" s="270" t="s">
        <v>68</v>
      </c>
      <c r="C14" s="1290" t="s">
        <v>2588</v>
      </c>
      <c r="D14" s="1309">
        <v>15</v>
      </c>
      <c r="E14" s="1303">
        <v>15</v>
      </c>
      <c r="F14" s="1280">
        <f t="shared" si="0"/>
        <v>1</v>
      </c>
      <c r="G14" s="1280" t="str">
        <f t="shared" si="1"/>
        <v>PU PR</v>
      </c>
    </row>
    <row r="15" spans="1:11" ht="34.5" customHeight="1" x14ac:dyDescent="0.25">
      <c r="A15" s="1313">
        <v>8.1666666666666696</v>
      </c>
      <c r="B15" s="270" t="s">
        <v>2591</v>
      </c>
      <c r="C15" s="1290" t="s">
        <v>2588</v>
      </c>
      <c r="D15" s="1309">
        <v>5</v>
      </c>
      <c r="E15" s="1311">
        <v>5</v>
      </c>
      <c r="F15" s="1280">
        <f t="shared" si="0"/>
        <v>1</v>
      </c>
      <c r="G15" s="1280" t="str">
        <f t="shared" si="1"/>
        <v>PU PR</v>
      </c>
    </row>
    <row r="16" spans="1:11" ht="76.5" x14ac:dyDescent="0.25">
      <c r="A16" s="1313">
        <v>9.6666666666666696</v>
      </c>
      <c r="B16" s="270" t="s">
        <v>2598</v>
      </c>
      <c r="C16" s="1290" t="s">
        <v>2588</v>
      </c>
      <c r="D16" s="1309">
        <v>14</v>
      </c>
      <c r="E16" s="1311">
        <v>14</v>
      </c>
      <c r="F16" s="1280">
        <f t="shared" si="0"/>
        <v>1</v>
      </c>
      <c r="G16" s="1280" t="str">
        <f t="shared" si="1"/>
        <v>PU PR</v>
      </c>
    </row>
    <row r="17" spans="1:9" ht="76.5" x14ac:dyDescent="0.25">
      <c r="A17" s="1313">
        <v>11.1666666666667</v>
      </c>
      <c r="B17" s="270" t="s">
        <v>2592</v>
      </c>
      <c r="C17" s="1290" t="s">
        <v>2588</v>
      </c>
      <c r="D17" s="1309">
        <v>5</v>
      </c>
      <c r="E17" s="1311">
        <v>5</v>
      </c>
      <c r="F17" s="1280">
        <f t="shared" si="0"/>
        <v>1</v>
      </c>
      <c r="G17" s="1280" t="str">
        <f t="shared" si="1"/>
        <v>PU PR</v>
      </c>
    </row>
    <row r="18" spans="1:9" s="1107" customFormat="1" x14ac:dyDescent="0.25">
      <c r="A18" s="1283"/>
      <c r="B18" s="311"/>
      <c r="C18" s="1284"/>
      <c r="D18" s="1284"/>
      <c r="E18" s="1285"/>
      <c r="F18" s="1286"/>
      <c r="G18" s="1286"/>
    </row>
    <row r="19" spans="1:9" ht="25.5" customHeight="1" x14ac:dyDescent="0.25">
      <c r="A19" s="1287" t="s">
        <v>2583</v>
      </c>
      <c r="B19" s="1603" t="s">
        <v>2584</v>
      </c>
      <c r="C19" s="1604"/>
      <c r="D19" s="1604"/>
      <c r="E19" s="1604"/>
      <c r="F19" s="1604"/>
      <c r="G19" s="1605"/>
    </row>
    <row r="20" spans="1:9" s="1107" customFormat="1" x14ac:dyDescent="0.25">
      <c r="A20" s="1283"/>
      <c r="B20" s="311"/>
      <c r="C20" s="1284"/>
      <c r="D20" s="1284"/>
      <c r="E20" s="1288"/>
      <c r="F20" s="1286"/>
      <c r="G20" s="1289"/>
    </row>
    <row r="21" spans="1:9" x14ac:dyDescent="0.25">
      <c r="A21" s="1594" t="s">
        <v>2575</v>
      </c>
      <c r="B21" s="1595"/>
      <c r="C21" s="1591" t="s">
        <v>2579</v>
      </c>
      <c r="D21" s="1592"/>
      <c r="E21" s="1592"/>
      <c r="F21" s="1592"/>
      <c r="G21" s="1593"/>
    </row>
    <row r="22" spans="1:9" x14ac:dyDescent="0.25">
      <c r="A22" s="1596"/>
      <c r="B22" s="1597"/>
      <c r="C22" s="1591" t="s">
        <v>2594</v>
      </c>
      <c r="D22" s="1592"/>
      <c r="E22" s="1592"/>
      <c r="F22" s="1592"/>
      <c r="G22" s="1593"/>
    </row>
    <row r="23" spans="1:9" x14ac:dyDescent="0.25">
      <c r="A23" s="1598"/>
      <c r="B23" s="1599"/>
      <c r="C23" s="1290" t="s">
        <v>1255</v>
      </c>
      <c r="D23" s="1290" t="s">
        <v>2580</v>
      </c>
      <c r="E23" s="1291" t="s">
        <v>2581</v>
      </c>
      <c r="F23" s="1287" t="s">
        <v>1271</v>
      </c>
      <c r="G23" s="1291" t="s">
        <v>2582</v>
      </c>
    </row>
    <row r="24" spans="1:9" ht="47.25" customHeight="1" x14ac:dyDescent="0.25">
      <c r="A24" s="1281">
        <v>1</v>
      </c>
      <c r="B24" s="270" t="s">
        <v>2589</v>
      </c>
      <c r="C24" s="275" t="s">
        <v>2588</v>
      </c>
      <c r="D24" s="1292" t="s">
        <v>2585</v>
      </c>
      <c r="E24" s="1292" t="s">
        <v>2585</v>
      </c>
      <c r="F24" s="1282" t="s">
        <v>217</v>
      </c>
      <c r="G24" s="1282" t="str">
        <f>G15</f>
        <v>PU PR</v>
      </c>
    </row>
    <row r="25" spans="1:9" x14ac:dyDescent="0.25">
      <c r="I25" s="1262"/>
    </row>
    <row r="26" spans="1:9" x14ac:dyDescent="0.25">
      <c r="E26" s="1590" t="s">
        <v>2595</v>
      </c>
      <c r="F26" s="1590"/>
      <c r="G26" s="1590"/>
      <c r="I26" s="1262"/>
    </row>
    <row r="27" spans="1:9" x14ac:dyDescent="0.25">
      <c r="E27" s="1590" t="s">
        <v>2586</v>
      </c>
      <c r="F27" s="1590"/>
      <c r="G27" s="1590"/>
      <c r="I27" s="1262"/>
    </row>
    <row r="28" spans="1:9" x14ac:dyDescent="0.25">
      <c r="I28" s="1262"/>
    </row>
    <row r="31" spans="1:9" x14ac:dyDescent="0.25">
      <c r="E31" s="1606" t="s">
        <v>2596</v>
      </c>
      <c r="F31" s="1606"/>
      <c r="G31" s="1606"/>
    </row>
    <row r="32" spans="1:9" x14ac:dyDescent="0.25">
      <c r="E32" s="1590" t="s">
        <v>2587</v>
      </c>
      <c r="F32" s="1590"/>
      <c r="G32" s="1590"/>
    </row>
  </sheetData>
  <mergeCells count="14">
    <mergeCell ref="A1:G1"/>
    <mergeCell ref="E32:G32"/>
    <mergeCell ref="C7:G7"/>
    <mergeCell ref="A7:B9"/>
    <mergeCell ref="B3:G3"/>
    <mergeCell ref="C8:G8"/>
    <mergeCell ref="B5:G5"/>
    <mergeCell ref="B19:G19"/>
    <mergeCell ref="A21:B23"/>
    <mergeCell ref="C21:G21"/>
    <mergeCell ref="C22:G22"/>
    <mergeCell ref="E26:G26"/>
    <mergeCell ref="E27:G27"/>
    <mergeCell ref="E31:G31"/>
  </mergeCells>
  <pageMargins left="0.69" right="0.98425196850393704" top="0.98425196850393704" bottom="0.84" header="0.51181102362204722" footer="0.51181102362204722"/>
  <pageSetup paperSize="9" scale="80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7"/>
  <sheetViews>
    <sheetView workbookViewId="0">
      <selection sqref="A1:K41"/>
    </sheetView>
  </sheetViews>
  <sheetFormatPr defaultRowHeight="15" x14ac:dyDescent="0.25"/>
  <cols>
    <col min="1" max="1" width="7.85546875" style="1094" customWidth="1"/>
    <col min="2" max="2" width="25.5703125" style="1094" customWidth="1"/>
    <col min="3" max="3" width="10.85546875" style="1094" customWidth="1"/>
    <col min="4" max="4" width="8.7109375" style="1094" customWidth="1"/>
    <col min="5" max="5" width="15" style="1094" customWidth="1"/>
    <col min="6" max="6" width="16" style="1094" customWidth="1"/>
    <col min="7" max="7" width="15.28515625" style="1094" customWidth="1"/>
    <col min="8" max="8" width="18.7109375" style="1094" customWidth="1"/>
    <col min="9" max="9" width="18.5703125" style="1094" customWidth="1"/>
    <col min="10" max="10" width="18.42578125" style="1094" customWidth="1"/>
    <col min="11" max="11" width="20" style="1094" customWidth="1"/>
    <col min="12" max="16384" width="9.140625" style="1094"/>
  </cols>
  <sheetData>
    <row r="1" spans="1:14" x14ac:dyDescent="0.25">
      <c r="A1" s="1581" t="s">
        <v>1788</v>
      </c>
      <c r="B1" s="1581"/>
      <c r="C1" s="1581"/>
      <c r="D1" s="1581"/>
      <c r="E1" s="1581"/>
      <c r="F1" s="1581"/>
      <c r="G1" s="1581"/>
      <c r="H1" s="1581"/>
      <c r="I1" s="1581"/>
      <c r="J1" s="1581"/>
      <c r="K1" s="1581"/>
    </row>
    <row r="2" spans="1:14" ht="15.75" x14ac:dyDescent="0.25">
      <c r="A2" s="1582" t="s">
        <v>2574</v>
      </c>
      <c r="B2" s="1582"/>
      <c r="C2" s="1582"/>
      <c r="D2" s="1582"/>
      <c r="E2" s="1582"/>
      <c r="F2" s="1582"/>
      <c r="G2" s="1582"/>
      <c r="H2" s="1582"/>
      <c r="I2" s="1582"/>
      <c r="J2" s="1582"/>
      <c r="K2" s="1582"/>
    </row>
    <row r="3" spans="1:14" ht="15.75" x14ac:dyDescent="0.25">
      <c r="A3" s="1582" t="s">
        <v>1790</v>
      </c>
      <c r="B3" s="1582"/>
      <c r="C3" s="1582"/>
      <c r="D3" s="1582"/>
      <c r="E3" s="1582"/>
      <c r="F3" s="1582"/>
      <c r="G3" s="1582"/>
      <c r="H3" s="1582"/>
      <c r="I3" s="1582"/>
      <c r="J3" s="1582"/>
      <c r="K3" s="1582"/>
    </row>
    <row r="4" spans="1:14" ht="15.75" x14ac:dyDescent="0.25">
      <c r="A4" s="1583" t="s">
        <v>1791</v>
      </c>
      <c r="B4" s="1583"/>
      <c r="C4" s="1583"/>
      <c r="D4" s="1583"/>
      <c r="E4" s="1583"/>
      <c r="F4" s="1583"/>
      <c r="G4" s="1583"/>
      <c r="H4" s="1583"/>
      <c r="I4" s="1583"/>
      <c r="J4" s="1583"/>
      <c r="K4" s="1583"/>
    </row>
    <row r="5" spans="1:14" x14ac:dyDescent="0.25">
      <c r="A5" s="1095"/>
      <c r="B5" s="1095"/>
      <c r="C5" s="1095"/>
      <c r="D5" s="1095"/>
    </row>
    <row r="6" spans="1:14" ht="51" x14ac:dyDescent="0.25">
      <c r="A6" s="1585" t="s">
        <v>1253</v>
      </c>
      <c r="B6" s="1585" t="s">
        <v>1254</v>
      </c>
      <c r="C6" s="1295" t="s">
        <v>8</v>
      </c>
      <c r="D6" s="1585" t="s">
        <v>1255</v>
      </c>
      <c r="E6" s="1297" t="s">
        <v>1256</v>
      </c>
      <c r="F6" s="1607" t="s">
        <v>1257</v>
      </c>
      <c r="G6" s="1608"/>
      <c r="H6" s="1608"/>
      <c r="I6" s="1608"/>
      <c r="J6" s="1609"/>
      <c r="K6" s="1610" t="s">
        <v>1258</v>
      </c>
    </row>
    <row r="7" spans="1:14" x14ac:dyDescent="0.25">
      <c r="A7" s="1586"/>
      <c r="B7" s="1586"/>
      <c r="C7" s="1296"/>
      <c r="D7" s="1586"/>
      <c r="E7" s="1297">
        <v>2013</v>
      </c>
      <c r="F7" s="1297">
        <v>2014</v>
      </c>
      <c r="G7" s="1297">
        <v>2015</v>
      </c>
      <c r="H7" s="1297">
        <v>2016</v>
      </c>
      <c r="I7" s="1297">
        <v>2017</v>
      </c>
      <c r="J7" s="1297">
        <v>2018</v>
      </c>
      <c r="K7" s="1611"/>
    </row>
    <row r="8" spans="1:14" x14ac:dyDescent="0.25">
      <c r="A8" s="1099" t="s">
        <v>1259</v>
      </c>
      <c r="B8" s="1099" t="s">
        <v>1260</v>
      </c>
      <c r="C8" s="1099"/>
      <c r="D8" s="1100" t="s">
        <v>1261</v>
      </c>
      <c r="E8" s="1100" t="s">
        <v>1262</v>
      </c>
      <c r="F8" s="1100" t="s">
        <v>1263</v>
      </c>
      <c r="G8" s="1100" t="s">
        <v>1264</v>
      </c>
      <c r="H8" s="1100" t="s">
        <v>1265</v>
      </c>
      <c r="I8" s="1100" t="s">
        <v>1266</v>
      </c>
      <c r="J8" s="1100" t="s">
        <v>1267</v>
      </c>
      <c r="K8" s="1100" t="s">
        <v>1268</v>
      </c>
    </row>
    <row r="9" spans="1:14" ht="19.5" customHeight="1" x14ac:dyDescent="0.25">
      <c r="A9" s="1101" t="s">
        <v>20</v>
      </c>
      <c r="B9" s="1539" t="s">
        <v>21</v>
      </c>
      <c r="C9" s="1540"/>
      <c r="D9" s="1540"/>
      <c r="E9" s="1540"/>
      <c r="F9" s="1540"/>
      <c r="G9" s="1540"/>
      <c r="H9" s="1540"/>
      <c r="I9" s="1540"/>
      <c r="J9" s="1540"/>
      <c r="K9" s="1541"/>
    </row>
    <row r="10" spans="1:14" ht="21.75" customHeight="1" x14ac:dyDescent="0.25">
      <c r="A10" s="1101" t="s">
        <v>22</v>
      </c>
      <c r="B10" s="1539" t="s">
        <v>1269</v>
      </c>
      <c r="C10" s="1540"/>
      <c r="D10" s="1540"/>
      <c r="E10" s="1540"/>
      <c r="F10" s="1540"/>
      <c r="G10" s="1540"/>
      <c r="H10" s="1540"/>
      <c r="I10" s="1540"/>
      <c r="J10" s="1540"/>
      <c r="K10" s="1541"/>
    </row>
    <row r="11" spans="1:14" ht="43.5" customHeight="1" x14ac:dyDescent="0.25">
      <c r="A11" s="1298"/>
      <c r="B11" s="270" t="s">
        <v>30</v>
      </c>
      <c r="C11" s="25" t="s">
        <v>2593</v>
      </c>
      <c r="D11" s="275" t="s">
        <v>1271</v>
      </c>
      <c r="E11" s="1103">
        <v>0</v>
      </c>
      <c r="F11" s="1102"/>
      <c r="G11" s="1103">
        <v>0.05</v>
      </c>
      <c r="H11" s="1103">
        <v>0.15</v>
      </c>
      <c r="I11" s="1103">
        <v>0.3</v>
      </c>
      <c r="J11" s="1103">
        <v>0.5</v>
      </c>
      <c r="K11" s="1103">
        <v>0.5</v>
      </c>
    </row>
    <row r="12" spans="1:14" ht="44.25" customHeight="1" x14ac:dyDescent="0.25">
      <c r="A12" s="1298"/>
      <c r="B12" s="270" t="s">
        <v>32</v>
      </c>
      <c r="C12" s="25" t="s">
        <v>2593</v>
      </c>
      <c r="D12" s="275" t="s">
        <v>1271</v>
      </c>
      <c r="E12" s="1103">
        <v>0</v>
      </c>
      <c r="F12" s="1102"/>
      <c r="G12" s="1103">
        <v>0.05</v>
      </c>
      <c r="H12" s="1103">
        <v>0.15</v>
      </c>
      <c r="I12" s="1103">
        <v>0.3</v>
      </c>
      <c r="J12" s="1103">
        <v>0.5</v>
      </c>
      <c r="K12" s="1103">
        <v>0.5</v>
      </c>
      <c r="L12" s="1104"/>
      <c r="M12" s="1105"/>
      <c r="N12" s="1105"/>
    </row>
    <row r="13" spans="1:14" ht="38.25" x14ac:dyDescent="0.25">
      <c r="A13" s="1298"/>
      <c r="B13" s="271" t="s">
        <v>33</v>
      </c>
      <c r="C13" s="25" t="s">
        <v>2593</v>
      </c>
      <c r="D13" s="275" t="s">
        <v>1271</v>
      </c>
      <c r="E13" s="1103">
        <v>0</v>
      </c>
      <c r="F13" s="1102"/>
      <c r="G13" s="1103">
        <v>0.5</v>
      </c>
      <c r="H13" s="1103">
        <v>1</v>
      </c>
      <c r="I13" s="1103">
        <v>1</v>
      </c>
      <c r="J13" s="1103">
        <v>1</v>
      </c>
      <c r="K13" s="1103">
        <v>1</v>
      </c>
      <c r="L13" s="1104"/>
      <c r="M13" s="1106"/>
      <c r="N13" s="1107"/>
    </row>
    <row r="14" spans="1:14" ht="45" customHeight="1" x14ac:dyDescent="0.25">
      <c r="A14" s="1298"/>
      <c r="B14" s="270" t="s">
        <v>41</v>
      </c>
      <c r="C14" s="25" t="s">
        <v>2593</v>
      </c>
      <c r="D14" s="25" t="s">
        <v>1271</v>
      </c>
      <c r="E14" s="1111">
        <v>0.35249999999999998</v>
      </c>
      <c r="F14" s="1112">
        <v>0.43580000000000002</v>
      </c>
      <c r="G14" s="1112">
        <v>0.51910000000000001</v>
      </c>
      <c r="H14" s="1112">
        <v>0.60240000000000005</v>
      </c>
      <c r="I14" s="1112">
        <v>0.68569999999999998</v>
      </c>
      <c r="J14" s="1112">
        <v>0.76900000000000002</v>
      </c>
      <c r="K14" s="1111">
        <v>0.76900000000000002</v>
      </c>
    </row>
    <row r="15" spans="1:14" ht="114.75" x14ac:dyDescent="0.25">
      <c r="A15" s="1298"/>
      <c r="B15" s="270" t="s">
        <v>42</v>
      </c>
      <c r="C15" s="25" t="s">
        <v>2593</v>
      </c>
      <c r="D15" s="25" t="s">
        <v>1271</v>
      </c>
      <c r="E15" s="1111">
        <v>0.35249999999999998</v>
      </c>
      <c r="F15" s="1112">
        <v>0.43580000000000002</v>
      </c>
      <c r="G15" s="1112">
        <v>0.51910000000000001</v>
      </c>
      <c r="H15" s="1112">
        <v>0.60240000000000005</v>
      </c>
      <c r="I15" s="1112">
        <v>0.68569999999999998</v>
      </c>
      <c r="J15" s="1112">
        <v>0.76900000000000002</v>
      </c>
      <c r="K15" s="1111">
        <v>0.76900000000000002</v>
      </c>
    </row>
    <row r="16" spans="1:14" ht="51" x14ac:dyDescent="0.25">
      <c r="A16" s="1298"/>
      <c r="B16" s="270" t="s">
        <v>43</v>
      </c>
      <c r="C16" s="25" t="s">
        <v>2593</v>
      </c>
      <c r="D16" s="25" t="s">
        <v>1271</v>
      </c>
      <c r="E16" s="1113">
        <v>0.3</v>
      </c>
      <c r="F16" s="1112">
        <v>0.32500000000000001</v>
      </c>
      <c r="G16" s="1112">
        <v>0.35</v>
      </c>
      <c r="H16" s="1112">
        <v>0.4</v>
      </c>
      <c r="I16" s="1112">
        <v>0.45</v>
      </c>
      <c r="J16" s="1112">
        <v>0.5</v>
      </c>
      <c r="K16" s="1113">
        <v>0.5</v>
      </c>
    </row>
    <row r="17" spans="1:11" ht="33" customHeight="1" x14ac:dyDescent="0.25">
      <c r="A17" s="1298"/>
      <c r="B17" s="270" t="s">
        <v>44</v>
      </c>
      <c r="C17" s="25" t="s">
        <v>2593</v>
      </c>
      <c r="D17" s="25" t="s">
        <v>1271</v>
      </c>
      <c r="E17" s="1113">
        <v>0.15</v>
      </c>
      <c r="F17" s="1112">
        <v>0.17249999999999999</v>
      </c>
      <c r="G17" s="1114">
        <v>0.2</v>
      </c>
      <c r="H17" s="1112">
        <v>0.22500000000000001</v>
      </c>
      <c r="I17" s="1114">
        <v>0.25</v>
      </c>
      <c r="J17" s="1114">
        <v>0.3</v>
      </c>
      <c r="K17" s="1113">
        <v>0.3</v>
      </c>
    </row>
    <row r="18" spans="1:11" ht="45" customHeight="1" x14ac:dyDescent="0.25">
      <c r="A18" s="1298"/>
      <c r="B18" s="270" t="s">
        <v>47</v>
      </c>
      <c r="C18" s="25" t="s">
        <v>2593</v>
      </c>
      <c r="D18" s="25" t="s">
        <v>1271</v>
      </c>
      <c r="E18" s="37">
        <v>0</v>
      </c>
      <c r="F18" s="37">
        <v>0.1</v>
      </c>
      <c r="G18" s="1103">
        <v>0.3</v>
      </c>
      <c r="H18" s="1103">
        <v>0.5</v>
      </c>
      <c r="I18" s="1103">
        <v>0.75</v>
      </c>
      <c r="J18" s="1103">
        <v>1</v>
      </c>
      <c r="K18" s="37">
        <v>1</v>
      </c>
    </row>
    <row r="19" spans="1:11" ht="44.25" customHeight="1" x14ac:dyDescent="0.25">
      <c r="A19" s="1302"/>
      <c r="B19" s="270" t="s">
        <v>50</v>
      </c>
      <c r="C19" s="25" t="s">
        <v>2593</v>
      </c>
      <c r="D19" s="25" t="s">
        <v>1271</v>
      </c>
      <c r="E19" s="37">
        <v>0.05</v>
      </c>
      <c r="F19" s="37">
        <v>0.15</v>
      </c>
      <c r="G19" s="1103">
        <v>0.55000000000000004</v>
      </c>
      <c r="H19" s="1103">
        <v>1</v>
      </c>
      <c r="I19" s="1103">
        <v>1</v>
      </c>
      <c r="J19" s="1103">
        <v>1</v>
      </c>
      <c r="K19" s="1103">
        <v>1</v>
      </c>
    </row>
    <row r="20" spans="1:11" ht="38.25" x14ac:dyDescent="0.25">
      <c r="A20" s="1302"/>
      <c r="B20" s="270" t="s">
        <v>2590</v>
      </c>
      <c r="C20" s="25" t="s">
        <v>2593</v>
      </c>
      <c r="D20" s="25" t="s">
        <v>1271</v>
      </c>
      <c r="E20" s="1111">
        <v>4.4299999999999999E-2</v>
      </c>
      <c r="F20" s="1111">
        <v>6.4899999999999999E-2</v>
      </c>
      <c r="G20" s="1111">
        <v>8.5620000000000002E-2</v>
      </c>
      <c r="H20" s="1111">
        <v>0.10630000000000001</v>
      </c>
      <c r="I20" s="1111">
        <v>0.12690000000000001</v>
      </c>
      <c r="J20" s="1111">
        <v>0.14760000000000001</v>
      </c>
      <c r="K20" s="1111">
        <v>0.14760000000000001</v>
      </c>
    </row>
    <row r="21" spans="1:11" ht="47.25" customHeight="1" x14ac:dyDescent="0.25">
      <c r="A21" s="1298"/>
      <c r="B21" s="270" t="s">
        <v>57</v>
      </c>
      <c r="C21" s="25" t="s">
        <v>2593</v>
      </c>
      <c r="D21" s="25" t="s">
        <v>1271</v>
      </c>
      <c r="E21" s="1111">
        <v>0.15379999999999999</v>
      </c>
      <c r="F21" s="1111">
        <v>0.2258</v>
      </c>
      <c r="G21" s="1111">
        <v>0.29780000000000001</v>
      </c>
      <c r="H21" s="1111">
        <v>0.36980000000000002</v>
      </c>
      <c r="I21" s="1116">
        <v>0.44080000000000003</v>
      </c>
      <c r="J21" s="1111">
        <v>0.51280000000000003</v>
      </c>
      <c r="K21" s="1111">
        <v>0.51280000000000003</v>
      </c>
    </row>
    <row r="22" spans="1:11" ht="99.75" customHeight="1" x14ac:dyDescent="0.25">
      <c r="A22" s="1298"/>
      <c r="B22" s="270" t="s">
        <v>68</v>
      </c>
      <c r="C22" s="25" t="s">
        <v>2593</v>
      </c>
      <c r="D22" s="275" t="s">
        <v>2570</v>
      </c>
      <c r="E22" s="1117">
        <v>1</v>
      </c>
      <c r="F22" s="1117"/>
      <c r="G22" s="1102">
        <v>2</v>
      </c>
      <c r="H22" s="1102">
        <v>3</v>
      </c>
      <c r="I22" s="1102">
        <v>4</v>
      </c>
      <c r="J22" s="1117">
        <v>5</v>
      </c>
      <c r="K22" s="1117">
        <v>5</v>
      </c>
    </row>
    <row r="23" spans="1:11" ht="33.75" customHeight="1" x14ac:dyDescent="0.25">
      <c r="A23" s="1298"/>
      <c r="B23" s="270" t="s">
        <v>69</v>
      </c>
      <c r="C23" s="25" t="s">
        <v>2593</v>
      </c>
      <c r="D23" s="275" t="s">
        <v>1271</v>
      </c>
      <c r="E23" s="1118">
        <v>0</v>
      </c>
      <c r="F23" s="1118"/>
      <c r="G23" s="1111">
        <v>0</v>
      </c>
      <c r="H23" s="1111">
        <v>0.1</v>
      </c>
      <c r="I23" s="1111">
        <v>0.2</v>
      </c>
      <c r="J23" s="1111">
        <v>0.3</v>
      </c>
      <c r="K23" s="1118">
        <v>0.3</v>
      </c>
    </row>
    <row r="24" spans="1:11" ht="61.5" customHeight="1" x14ac:dyDescent="0.25">
      <c r="A24" s="1298"/>
      <c r="B24" s="270" t="s">
        <v>70</v>
      </c>
      <c r="C24" s="25" t="s">
        <v>2593</v>
      </c>
      <c r="D24" s="275" t="s">
        <v>2570</v>
      </c>
      <c r="E24" s="1298">
        <v>0</v>
      </c>
      <c r="F24" s="1298"/>
      <c r="G24" s="1102">
        <v>1</v>
      </c>
      <c r="H24" s="1102">
        <v>2</v>
      </c>
      <c r="I24" s="1102">
        <v>2</v>
      </c>
      <c r="J24" s="1298">
        <v>2</v>
      </c>
      <c r="K24" s="1298">
        <v>2</v>
      </c>
    </row>
    <row r="25" spans="1:11" ht="64.5" customHeight="1" x14ac:dyDescent="0.25">
      <c r="A25" s="1308"/>
      <c r="B25" s="1314" t="str">
        <f>'Data Lakip'!B16</f>
        <v>Persentase tersedianya akses jalan sampai dengan wilayah terpencil dan terisolasi, tersedianya mobilitas, aksebilitas, kecepatan dan keselamatan pengguna jalan</v>
      </c>
      <c r="C25" s="25" t="s">
        <v>2593</v>
      </c>
      <c r="D25" s="275" t="s">
        <v>1271</v>
      </c>
      <c r="E25" s="1317">
        <v>0.15</v>
      </c>
      <c r="F25" s="1308"/>
      <c r="G25" s="1102"/>
      <c r="H25" s="1315">
        <v>0.34</v>
      </c>
      <c r="I25" s="1315">
        <v>0.4</v>
      </c>
      <c r="J25" s="1316">
        <v>0.46</v>
      </c>
      <c r="K25" s="1111">
        <f>J25</f>
        <v>0.46</v>
      </c>
    </row>
    <row r="26" spans="1:11" ht="61.5" customHeight="1" x14ac:dyDescent="0.25">
      <c r="A26" s="1308"/>
      <c r="B26" s="1314" t="str">
        <f>'Data Lakip'!B17</f>
        <v xml:space="preserve">Persentase tersedianya akses jembatan sampai dengan wilayah terpencil dan terisolasi, tersedianya mobilitas, aksebilitas, kecepatan dan keselamatan pengguna jalan </v>
      </c>
      <c r="C26" s="25" t="s">
        <v>2593</v>
      </c>
      <c r="D26" s="275" t="s">
        <v>1271</v>
      </c>
      <c r="E26" s="1317">
        <v>7.0000000000000007E-2</v>
      </c>
      <c r="F26" s="1308"/>
      <c r="G26" s="1102"/>
      <c r="H26" s="1315">
        <v>0.25</v>
      </c>
      <c r="I26" s="1315">
        <v>0.3</v>
      </c>
      <c r="J26" s="1316">
        <v>0.35</v>
      </c>
      <c r="K26" s="1111">
        <f>J26</f>
        <v>0.35</v>
      </c>
    </row>
    <row r="27" spans="1:11" ht="23.25" customHeight="1" x14ac:dyDescent="0.25">
      <c r="A27" s="1101" t="s">
        <v>71</v>
      </c>
      <c r="B27" s="1539" t="s">
        <v>1280</v>
      </c>
      <c r="C27" s="1540"/>
      <c r="D27" s="1540"/>
      <c r="E27" s="1540"/>
      <c r="F27" s="1540"/>
      <c r="G27" s="1540"/>
      <c r="H27" s="1540"/>
      <c r="I27" s="1540"/>
      <c r="J27" s="1540"/>
      <c r="K27" s="1541"/>
    </row>
    <row r="28" spans="1:11" ht="61.5" customHeight="1" x14ac:dyDescent="0.25">
      <c r="A28" s="1298"/>
      <c r="B28" s="271" t="s">
        <v>87</v>
      </c>
      <c r="C28" s="275" t="str">
        <f>C26</f>
        <v>PU PR</v>
      </c>
      <c r="D28" s="271"/>
      <c r="E28" s="1119"/>
      <c r="F28" s="1119"/>
      <c r="G28" s="1119"/>
      <c r="H28" s="1119"/>
      <c r="I28" s="1119"/>
      <c r="J28" s="1119"/>
      <c r="K28" s="1119"/>
    </row>
    <row r="29" spans="1:11" ht="24.75" customHeight="1" x14ac:dyDescent="0.25">
      <c r="A29" s="1101" t="s">
        <v>100</v>
      </c>
      <c r="B29" s="1539" t="s">
        <v>101</v>
      </c>
      <c r="C29" s="1540"/>
      <c r="D29" s="1540"/>
      <c r="E29" s="1540"/>
      <c r="F29" s="1540"/>
      <c r="G29" s="1540"/>
      <c r="H29" s="1540"/>
      <c r="I29" s="1540"/>
      <c r="J29" s="1540"/>
      <c r="K29" s="1541"/>
    </row>
    <row r="30" spans="1:11" ht="36.75" customHeight="1" x14ac:dyDescent="0.25">
      <c r="A30" s="1298"/>
      <c r="B30" s="277" t="s">
        <v>124</v>
      </c>
      <c r="C30" s="275" t="str">
        <f>C28</f>
        <v>PU PR</v>
      </c>
      <c r="D30" s="277"/>
      <c r="E30" s="1119"/>
      <c r="F30" s="1119"/>
      <c r="G30" s="1119"/>
      <c r="H30" s="1119"/>
      <c r="I30" s="1119"/>
      <c r="J30" s="1119"/>
      <c r="K30" s="1119"/>
    </row>
    <row r="31" spans="1:11" ht="25.5" customHeight="1" x14ac:dyDescent="0.25">
      <c r="A31" s="1101" t="s">
        <v>126</v>
      </c>
      <c r="B31" s="1539" t="s">
        <v>127</v>
      </c>
      <c r="C31" s="1540"/>
      <c r="D31" s="1540"/>
      <c r="E31" s="1540"/>
      <c r="F31" s="1540"/>
      <c r="G31" s="1540"/>
      <c r="H31" s="1540"/>
      <c r="I31" s="1540"/>
      <c r="J31" s="1540"/>
      <c r="K31" s="1541"/>
    </row>
    <row r="32" spans="1:11" ht="89.25" x14ac:dyDescent="0.25">
      <c r="A32" s="1101"/>
      <c r="B32" s="1294" t="s">
        <v>130</v>
      </c>
      <c r="C32" s="275" t="str">
        <f>C30</f>
        <v>PU PR</v>
      </c>
      <c r="D32" s="1125"/>
      <c r="E32" s="1125"/>
      <c r="F32" s="1125"/>
      <c r="G32" s="1125"/>
      <c r="H32" s="1125"/>
      <c r="I32" s="1125"/>
      <c r="J32" s="1125"/>
      <c r="K32" s="1125"/>
    </row>
    <row r="33" spans="1:11" ht="96.75" customHeight="1" x14ac:dyDescent="0.25">
      <c r="A33" s="1302"/>
      <c r="B33" s="271" t="s">
        <v>133</v>
      </c>
      <c r="C33" s="275" t="str">
        <f>C32</f>
        <v>PU PR</v>
      </c>
      <c r="D33" s="1126"/>
      <c r="E33" s="1119"/>
      <c r="F33" s="1119"/>
      <c r="G33" s="1119"/>
      <c r="H33" s="1119"/>
      <c r="I33" s="1119"/>
      <c r="J33" s="1119"/>
      <c r="K33" s="1119"/>
    </row>
    <row r="34" spans="1:11" ht="84.75" customHeight="1" x14ac:dyDescent="0.25">
      <c r="A34" s="1302"/>
      <c r="B34" s="271" t="s">
        <v>136</v>
      </c>
      <c r="C34" s="275" t="str">
        <f t="shared" ref="C34" si="0">C32</f>
        <v>PU PR</v>
      </c>
      <c r="D34" s="1126"/>
      <c r="E34" s="1119"/>
      <c r="F34" s="1119"/>
      <c r="G34" s="1119"/>
      <c r="H34" s="1119"/>
      <c r="I34" s="1119"/>
      <c r="J34" s="1119"/>
      <c r="K34" s="1119"/>
    </row>
    <row r="35" spans="1:11" ht="19.5" customHeight="1" x14ac:dyDescent="0.25">
      <c r="A35" s="1101" t="s">
        <v>502</v>
      </c>
      <c r="B35" s="1539" t="s">
        <v>1366</v>
      </c>
      <c r="C35" s="1540"/>
      <c r="D35" s="1540"/>
      <c r="E35" s="1540"/>
      <c r="F35" s="1540"/>
      <c r="G35" s="1540"/>
      <c r="H35" s="1540"/>
      <c r="I35" s="1540"/>
      <c r="J35" s="1540"/>
      <c r="K35" s="1541"/>
    </row>
    <row r="36" spans="1:11" ht="27" customHeight="1" x14ac:dyDescent="0.25">
      <c r="A36" s="1101" t="s">
        <v>944</v>
      </c>
      <c r="B36" s="1539" t="s">
        <v>1641</v>
      </c>
      <c r="C36" s="1540"/>
      <c r="D36" s="1540"/>
      <c r="E36" s="1540"/>
      <c r="F36" s="1540"/>
      <c r="G36" s="1540"/>
      <c r="H36" s="1540"/>
      <c r="I36" s="1540"/>
      <c r="J36" s="1540"/>
      <c r="K36" s="1541"/>
    </row>
    <row r="37" spans="1:11" ht="42" customHeight="1" x14ac:dyDescent="0.25">
      <c r="A37" s="1298"/>
      <c r="B37" s="1293" t="s">
        <v>1642</v>
      </c>
      <c r="C37" s="272" t="s">
        <v>1643</v>
      </c>
      <c r="D37" s="1128" t="s">
        <v>1271</v>
      </c>
      <c r="E37" s="1109">
        <v>100</v>
      </c>
      <c r="F37" s="1109">
        <v>100</v>
      </c>
      <c r="G37" s="1109">
        <v>100</v>
      </c>
      <c r="H37" s="1109">
        <v>100</v>
      </c>
      <c r="I37" s="1109">
        <v>100</v>
      </c>
      <c r="J37" s="1109">
        <v>100</v>
      </c>
      <c r="K37" s="1109">
        <v>100</v>
      </c>
    </row>
    <row r="38" spans="1:11" ht="42.75" customHeight="1" x14ac:dyDescent="0.25">
      <c r="A38" s="1298"/>
      <c r="B38" s="1293" t="s">
        <v>952</v>
      </c>
      <c r="C38" s="272" t="s">
        <v>1643</v>
      </c>
      <c r="D38" s="1128" t="s">
        <v>1271</v>
      </c>
      <c r="E38" s="1109">
        <v>85</v>
      </c>
      <c r="F38" s="1109">
        <v>90</v>
      </c>
      <c r="G38" s="1109">
        <v>90</v>
      </c>
      <c r="H38" s="1109">
        <v>90</v>
      </c>
      <c r="I38" s="1109">
        <v>90</v>
      </c>
      <c r="J38" s="1109">
        <v>95</v>
      </c>
      <c r="K38" s="1109">
        <v>95</v>
      </c>
    </row>
    <row r="39" spans="1:11" ht="25.5" x14ac:dyDescent="0.25">
      <c r="A39" s="1301"/>
      <c r="B39" s="358" t="s">
        <v>1644</v>
      </c>
      <c r="C39" s="1299" t="s">
        <v>1643</v>
      </c>
      <c r="D39" s="1304" t="s">
        <v>1271</v>
      </c>
      <c r="E39" s="1305">
        <v>95</v>
      </c>
      <c r="F39" s="1305">
        <v>100</v>
      </c>
      <c r="G39" s="1305">
        <v>100</v>
      </c>
      <c r="H39" s="1305">
        <v>100</v>
      </c>
      <c r="I39" s="1305">
        <v>100</v>
      </c>
      <c r="J39" s="1305">
        <v>100</v>
      </c>
      <c r="K39" s="1305">
        <v>100</v>
      </c>
    </row>
    <row r="40" spans="1:11" s="1306" customFormat="1" ht="42.75" customHeight="1" x14ac:dyDescent="0.25">
      <c r="A40" s="1302"/>
      <c r="B40" s="1300" t="s">
        <v>963</v>
      </c>
      <c r="C40" s="272" t="s">
        <v>1643</v>
      </c>
      <c r="D40" s="1128" t="s">
        <v>1271</v>
      </c>
      <c r="E40" s="1109">
        <v>90</v>
      </c>
      <c r="F40" s="1109">
        <v>95</v>
      </c>
      <c r="G40" s="1109">
        <v>95</v>
      </c>
      <c r="H40" s="1109">
        <v>95</v>
      </c>
      <c r="I40" s="1109">
        <v>95</v>
      </c>
      <c r="J40" s="1109">
        <v>95</v>
      </c>
      <c r="K40" s="1109">
        <v>95</v>
      </c>
    </row>
    <row r="41" spans="1:11" s="1307" customFormat="1" ht="45.75" customHeight="1" x14ac:dyDescent="0.25">
      <c r="A41" s="1302"/>
      <c r="B41" s="1300" t="s">
        <v>954</v>
      </c>
      <c r="C41" s="272" t="s">
        <v>1643</v>
      </c>
      <c r="D41" s="1128" t="s">
        <v>1271</v>
      </c>
      <c r="E41" s="1109">
        <v>100</v>
      </c>
      <c r="F41" s="1109">
        <v>100</v>
      </c>
      <c r="G41" s="1109">
        <v>100</v>
      </c>
      <c r="H41" s="1109">
        <v>100</v>
      </c>
      <c r="I41" s="1109">
        <v>100</v>
      </c>
      <c r="J41" s="1109">
        <v>100</v>
      </c>
      <c r="K41" s="1109">
        <v>100</v>
      </c>
    </row>
    <row r="44" spans="1:11" x14ac:dyDescent="0.25">
      <c r="I44" s="1262"/>
    </row>
    <row r="45" spans="1:11" x14ac:dyDescent="0.25">
      <c r="I45" s="1262"/>
    </row>
    <row r="46" spans="1:11" x14ac:dyDescent="0.25">
      <c r="I46" s="1262"/>
    </row>
    <row r="47" spans="1:11" x14ac:dyDescent="0.25">
      <c r="I47" s="1262"/>
    </row>
  </sheetData>
  <mergeCells count="16">
    <mergeCell ref="B36:K36"/>
    <mergeCell ref="B35:K35"/>
    <mergeCell ref="B9:K9"/>
    <mergeCell ref="B10:K10"/>
    <mergeCell ref="B27:K27"/>
    <mergeCell ref="B29:K29"/>
    <mergeCell ref="B31:K31"/>
    <mergeCell ref="A1:K1"/>
    <mergeCell ref="A2:K2"/>
    <mergeCell ref="A3:K3"/>
    <mergeCell ref="A4:K4"/>
    <mergeCell ref="A6:A7"/>
    <mergeCell ref="B6:B7"/>
    <mergeCell ref="D6:D7"/>
    <mergeCell ref="F6:J6"/>
    <mergeCell ref="K6:K7"/>
  </mergeCells>
  <pageMargins left="0.98425196850393704" right="0.98425196850393704" top="0.78740157480314965" bottom="0.78740157480314965" header="0.51181102362204722" footer="0.47244094488188981"/>
  <pageSetup paperSize="9" scale="70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A4" sqref="A4"/>
    </sheetView>
  </sheetViews>
  <sheetFormatPr defaultRowHeight="15" x14ac:dyDescent="0.25"/>
  <cols>
    <col min="1" max="1" width="25.5703125" customWidth="1"/>
    <col min="7" max="7" width="18" bestFit="1" customWidth="1"/>
    <col min="8" max="8" width="10.5703125" bestFit="1" customWidth="1"/>
  </cols>
  <sheetData>
    <row r="1" spans="1:8" ht="25.5" x14ac:dyDescent="0.25">
      <c r="A1" s="311" t="s">
        <v>26</v>
      </c>
    </row>
    <row r="2" spans="1:8" ht="38.25" x14ac:dyDescent="0.25">
      <c r="A2" s="311" t="s">
        <v>30</v>
      </c>
    </row>
    <row r="3" spans="1:8" ht="38.25" x14ac:dyDescent="0.25">
      <c r="A3" s="311" t="s">
        <v>32</v>
      </c>
    </row>
    <row r="4" spans="1:8" ht="38.25" x14ac:dyDescent="0.25">
      <c r="A4" s="312" t="s">
        <v>33</v>
      </c>
      <c r="G4" s="1089">
        <v>12000</v>
      </c>
    </row>
    <row r="5" spans="1:8" ht="25.5" x14ac:dyDescent="0.25">
      <c r="A5" s="51" t="s">
        <v>34</v>
      </c>
      <c r="G5" s="1089">
        <v>7500000</v>
      </c>
      <c r="H5">
        <v>1034</v>
      </c>
    </row>
    <row r="6" spans="1:8" ht="25.5" x14ac:dyDescent="0.25">
      <c r="A6" s="51" t="s">
        <v>40</v>
      </c>
      <c r="G6" s="1089"/>
      <c r="H6" s="1090"/>
    </row>
    <row r="7" spans="1:8" ht="38.25" x14ac:dyDescent="0.25">
      <c r="A7" s="311" t="s">
        <v>41</v>
      </c>
      <c r="G7" s="1089"/>
    </row>
    <row r="8" spans="1:8" ht="114.75" x14ac:dyDescent="0.25">
      <c r="A8" s="311" t="s">
        <v>42</v>
      </c>
      <c r="H8" s="1090"/>
    </row>
    <row r="9" spans="1:8" ht="51" x14ac:dyDescent="0.25">
      <c r="A9" s="311" t="s">
        <v>43</v>
      </c>
      <c r="G9" s="1089"/>
    </row>
    <row r="10" spans="1:8" ht="25.5" x14ac:dyDescent="0.25">
      <c r="A10" s="311" t="s">
        <v>44</v>
      </c>
      <c r="G10" s="1090"/>
    </row>
    <row r="11" spans="1:8" ht="38.25" x14ac:dyDescent="0.25">
      <c r="A11" s="311" t="s">
        <v>47</v>
      </c>
      <c r="G11" s="1090"/>
    </row>
    <row r="12" spans="1:8" ht="38.25" x14ac:dyDescent="0.25">
      <c r="A12" s="311" t="s">
        <v>50</v>
      </c>
      <c r="G12" s="1090"/>
    </row>
    <row r="13" spans="1:8" ht="38.25" x14ac:dyDescent="0.25">
      <c r="A13" s="265" t="s">
        <v>52</v>
      </c>
    </row>
    <row r="14" spans="1:8" ht="38.25" x14ac:dyDescent="0.25">
      <c r="A14" s="311" t="s">
        <v>56</v>
      </c>
    </row>
    <row r="15" spans="1:8" ht="38.25" x14ac:dyDescent="0.25">
      <c r="A15" s="311" t="s">
        <v>57</v>
      </c>
    </row>
    <row r="16" spans="1:8" ht="25.5" x14ac:dyDescent="0.25">
      <c r="A16" s="310" t="s">
        <v>58</v>
      </c>
    </row>
    <row r="17" spans="1:1" ht="38.25" x14ac:dyDescent="0.25">
      <c r="A17" s="310" t="s">
        <v>62</v>
      </c>
    </row>
    <row r="18" spans="1:1" x14ac:dyDescent="0.25">
      <c r="A18" s="310" t="s">
        <v>65</v>
      </c>
    </row>
    <row r="19" spans="1:1" ht="89.25" x14ac:dyDescent="0.25">
      <c r="A19" s="311" t="s">
        <v>68</v>
      </c>
    </row>
    <row r="20" spans="1:1" ht="25.5" x14ac:dyDescent="0.25">
      <c r="A20" s="311" t="s">
        <v>69</v>
      </c>
    </row>
    <row r="21" spans="1:1" ht="51" x14ac:dyDescent="0.25">
      <c r="A21" s="31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Tabel 7.1 final</vt:lpstr>
      <vt:lpstr>Tabel 7.1</vt:lpstr>
      <vt:lpstr>Tabel 8.1 final</vt:lpstr>
      <vt:lpstr>Tabel 9.1 final</vt:lpstr>
      <vt:lpstr>Data Lakip</vt:lpstr>
      <vt:lpstr>Tabel IKU</vt:lpstr>
      <vt:lpstr>Sheet1</vt:lpstr>
      <vt:lpstr>'Data Lakip'!Print_Area</vt:lpstr>
      <vt:lpstr>'Tabel 9.1 final'!Print_Area</vt:lpstr>
      <vt:lpstr>'Tabel IKU'!Print_Area</vt:lpstr>
      <vt:lpstr>'Tabel 8.1 final'!Print_Titles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ardi</dc:creator>
  <cp:lastModifiedBy>Acer</cp:lastModifiedBy>
  <cp:lastPrinted>2018-02-07T04:03:14Z</cp:lastPrinted>
  <dcterms:created xsi:type="dcterms:W3CDTF">2014-08-26T03:47:10Z</dcterms:created>
  <dcterms:modified xsi:type="dcterms:W3CDTF">2018-02-07T12:10:26Z</dcterms:modified>
</cp:coreProperties>
</file>